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AF5D4EB1-31A8-4055-B1A8-FE95B3347FCE}" xr6:coauthVersionLast="36" xr6:coauthVersionMax="45" xr10:uidLastSave="{00000000-0000-0000-0000-000000000000}"/>
  <bookViews>
    <workbookView xWindow="-120" yWindow="-120" windowWidth="20730" windowHeight="11160" tabRatio="785" xr2:uid="{20F00A0E-900D-4057-A36C-8B76C760B413}"/>
  </bookViews>
  <sheets>
    <sheet name="Mapa_Planilha" sheetId="20" r:id="rId1"/>
    <sheet name="I-Dados" sheetId="25" r:id="rId2"/>
    <sheet name="A-Tarifa-P0" sheetId="28" r:id="rId3"/>
    <sheet name="A-Fator-X" sheetId="30" r:id="rId4"/>
    <sheet name="R-TarifaRTP-2021" sheetId="24" r:id="rId5"/>
  </sheets>
  <externalReferences>
    <externalReference r:id="rId6"/>
    <externalReference r:id="rId7"/>
  </externalReferences>
  <definedNames>
    <definedName name="Ajuste_IR">[1]Menu!$E$25</definedName>
    <definedName name="ano_fim">[2]Menu!$D$20</definedName>
    <definedName name="fator_x">'[2]Fator X'!$B$46</definedName>
    <definedName name="P0_San_A">[1]P0_Sanepar!$I$5</definedName>
    <definedName name="P0_San_E">[1]P0_Sanepar!$P$5</definedName>
    <definedName name="P0_San_T">[2]P0_Sanepar!$B$5</definedName>
    <definedName name="solver_adj" localSheetId="3" hidden="1">'A-Fator-X'!$B$45</definedName>
    <definedName name="solver_adj" localSheetId="2" hidden="1">'A-Tarifa-P0'!$N$46</definedName>
    <definedName name="solver_cvg" localSheetId="3" hidden="1">0.0001</definedName>
    <definedName name="solver_cvg" localSheetId="2" hidden="1">0.0001</definedName>
    <definedName name="solver_drv" localSheetId="3" hidden="1">1</definedName>
    <definedName name="solver_drv" localSheetId="2" hidden="1">1</definedName>
    <definedName name="solver_eng" localSheetId="3" hidden="1">1</definedName>
    <definedName name="solver_eng" localSheetId="2" hidden="1">1</definedName>
    <definedName name="solver_est" localSheetId="3" hidden="1">1</definedName>
    <definedName name="solver_est" localSheetId="2" hidden="1">1</definedName>
    <definedName name="solver_itr" localSheetId="3" hidden="1">2147483647</definedName>
    <definedName name="solver_itr" localSheetId="2" hidden="1">2147483647</definedName>
    <definedName name="solver_mip" localSheetId="3" hidden="1">2147483647</definedName>
    <definedName name="solver_mip" localSheetId="2" hidden="1">2147483647</definedName>
    <definedName name="solver_mni" localSheetId="3" hidden="1">30</definedName>
    <definedName name="solver_mni" localSheetId="2" hidden="1">30</definedName>
    <definedName name="solver_mrt" localSheetId="3" hidden="1">0.075</definedName>
    <definedName name="solver_mrt" localSheetId="2" hidden="1">0.075</definedName>
    <definedName name="solver_msl" localSheetId="3" hidden="1">2</definedName>
    <definedName name="solver_msl" localSheetId="2" hidden="1">2</definedName>
    <definedName name="solver_neg" localSheetId="3" hidden="1">1</definedName>
    <definedName name="solver_neg" localSheetId="2" hidden="1">2</definedName>
    <definedName name="solver_nod" localSheetId="3" hidden="1">2147483647</definedName>
    <definedName name="solver_nod" localSheetId="2" hidden="1">2147483647</definedName>
    <definedName name="solver_num" localSheetId="3" hidden="1">0</definedName>
    <definedName name="solver_num" localSheetId="2" hidden="1">0</definedName>
    <definedName name="solver_nwt" localSheetId="3" hidden="1">1</definedName>
    <definedName name="solver_nwt" localSheetId="2" hidden="1">1</definedName>
    <definedName name="solver_opt" localSheetId="3" hidden="1">'A-Fator-X'!$B$44</definedName>
    <definedName name="solver_opt" localSheetId="2" hidden="1">'A-Tarifa-P0'!$N$45</definedName>
    <definedName name="solver_pre" localSheetId="3" hidden="1">0.000001</definedName>
    <definedName name="solver_pre" localSheetId="2" hidden="1">0.000001</definedName>
    <definedName name="solver_rbv" localSheetId="3" hidden="1">1</definedName>
    <definedName name="solver_rbv" localSheetId="2" hidden="1">1</definedName>
    <definedName name="solver_rlx" localSheetId="3" hidden="1">2</definedName>
    <definedName name="solver_rlx" localSheetId="2" hidden="1">2</definedName>
    <definedName name="solver_rsd" localSheetId="3" hidden="1">0</definedName>
    <definedName name="solver_rsd" localSheetId="2" hidden="1">0</definedName>
    <definedName name="solver_scl" localSheetId="3" hidden="1">1</definedName>
    <definedName name="solver_scl" localSheetId="2" hidden="1">1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ssz" localSheetId="2" hidden="1">100</definedName>
    <definedName name="solver_tim" localSheetId="3" hidden="1">2147483647</definedName>
    <definedName name="solver_tim" localSheetId="2" hidden="1">2147483647</definedName>
    <definedName name="solver_tol" localSheetId="3" hidden="1">0.01</definedName>
    <definedName name="solver_tol" localSheetId="2" hidden="1">0.01</definedName>
    <definedName name="solver_typ" localSheetId="3" hidden="1">3</definedName>
    <definedName name="solver_typ" localSheetId="2" hidden="1">3</definedName>
    <definedName name="solver_val" localSheetId="3" hidden="1">0</definedName>
    <definedName name="solver_val" localSheetId="2" hidden="1">0</definedName>
    <definedName name="solver_ver" localSheetId="3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4" l="1"/>
  <c r="N23" i="28"/>
  <c r="H23" i="28"/>
  <c r="B24" i="30"/>
  <c r="B23" i="28"/>
  <c r="B17" i="30"/>
  <c r="N16" i="28"/>
  <c r="H16" i="28"/>
  <c r="B16" i="28"/>
  <c r="B123" i="25"/>
  <c r="B116" i="25"/>
  <c r="B115" i="25"/>
  <c r="B137" i="25"/>
  <c r="B131" i="25"/>
  <c r="B110" i="25"/>
  <c r="B105" i="25"/>
  <c r="B42" i="28"/>
  <c r="C28" i="28" l="1"/>
  <c r="D28" i="28"/>
  <c r="B28" i="28"/>
  <c r="B17" i="28" s="1"/>
  <c r="E28" i="28"/>
  <c r="C8" i="24"/>
  <c r="B8" i="24"/>
  <c r="C71" i="25" l="1"/>
  <c r="C70" i="25"/>
  <c r="D70" i="25"/>
  <c r="E70" i="25"/>
  <c r="F70" i="25"/>
  <c r="B158" i="25"/>
  <c r="B67" i="25" s="1"/>
  <c r="B68" i="25" l="1"/>
  <c r="B69" i="25"/>
  <c r="B66" i="25"/>
  <c r="B70" i="25"/>
  <c r="B146" i="25" l="1"/>
  <c r="B86" i="25" l="1"/>
  <c r="B78" i="25" s="1"/>
  <c r="B5" i="25" l="1"/>
  <c r="D5" i="25"/>
  <c r="B4" i="28" s="1"/>
  <c r="B21" i="28" s="1"/>
  <c r="B8" i="28" l="1"/>
  <c r="B9" i="28"/>
  <c r="B10" i="28"/>
  <c r="B19" i="24"/>
  <c r="B18" i="24"/>
  <c r="B39" i="25"/>
  <c r="B40" i="25" s="1"/>
  <c r="B7" i="28" l="1"/>
  <c r="B44" i="28" l="1"/>
  <c r="B38" i="25"/>
  <c r="B8" i="25" l="1"/>
  <c r="B46" i="25" l="1"/>
  <c r="B45" i="25"/>
  <c r="B44" i="25"/>
  <c r="B43" i="25"/>
  <c r="B42" i="25"/>
  <c r="B41" i="25"/>
  <c r="B95" i="25"/>
  <c r="B76" i="28" l="1"/>
  <c r="D7" i="24" s="1"/>
  <c r="E7" i="24" s="1"/>
  <c r="D5" i="24"/>
  <c r="B48" i="28"/>
  <c r="C48" i="28" s="1"/>
  <c r="B47" i="28"/>
  <c r="D47" i="28" s="1"/>
  <c r="B46" i="28"/>
  <c r="D46" i="28" s="1"/>
  <c r="B61" i="28"/>
  <c r="N3" i="28"/>
  <c r="B60" i="28"/>
  <c r="H3" i="28"/>
  <c r="B3" i="28"/>
  <c r="B43" i="28"/>
  <c r="B69" i="28" s="1"/>
  <c r="B65" i="28"/>
  <c r="B73" i="28"/>
  <c r="H22" i="28"/>
  <c r="D71" i="25"/>
  <c r="E71" i="25"/>
  <c r="F71" i="25"/>
  <c r="H12" i="28" l="1"/>
  <c r="H20" i="28"/>
  <c r="H19" i="28"/>
  <c r="B25" i="24"/>
  <c r="B77" i="28"/>
  <c r="B45" i="28"/>
  <c r="C46" i="28"/>
  <c r="E46" i="28"/>
  <c r="C47" i="28"/>
  <c r="E47" i="28"/>
  <c r="B41" i="28"/>
  <c r="H18" i="28" l="1"/>
  <c r="H13" i="28"/>
  <c r="H15" i="28"/>
  <c r="H14" i="28"/>
  <c r="C45" i="28"/>
  <c r="D48" i="28"/>
  <c r="D45" i="28" s="1"/>
  <c r="E48" i="28"/>
  <c r="E45" i="28" s="1"/>
  <c r="E5" i="24" l="1"/>
  <c r="B26" i="24"/>
  <c r="B129" i="25" l="1"/>
  <c r="B126" i="25"/>
  <c r="B119" i="25"/>
  <c r="B60" i="25"/>
  <c r="B5" i="28" s="1"/>
  <c r="B6" i="28" s="1"/>
  <c r="B47" i="25"/>
  <c r="B29" i="25"/>
  <c r="B22" i="25"/>
  <c r="G8" i="25" l="1"/>
  <c r="E5" i="30" s="1"/>
  <c r="F8" i="25"/>
  <c r="D5" i="30" s="1"/>
  <c r="E8" i="25"/>
  <c r="C5" i="30" s="1"/>
  <c r="D8" i="25"/>
  <c r="B5" i="30" s="1"/>
  <c r="C8" i="25"/>
  <c r="E5" i="25"/>
  <c r="F5" i="25"/>
  <c r="G5" i="25"/>
  <c r="B135" i="25"/>
  <c r="B29" i="30" s="1"/>
  <c r="B133" i="25"/>
  <c r="N28" i="28" s="1"/>
  <c r="H28" i="28"/>
  <c r="B35" i="30"/>
  <c r="C35" i="30" s="1"/>
  <c r="B34" i="30"/>
  <c r="E34" i="30" s="1"/>
  <c r="E31" i="30"/>
  <c r="D31" i="30"/>
  <c r="C31" i="30"/>
  <c r="B31" i="30"/>
  <c r="D17" i="30"/>
  <c r="E30" i="28"/>
  <c r="D30" i="28"/>
  <c r="C30" i="28"/>
  <c r="B30" i="28"/>
  <c r="K30" i="28"/>
  <c r="J30" i="28"/>
  <c r="I30" i="28"/>
  <c r="H30" i="28"/>
  <c r="B14" i="24"/>
  <c r="B3" i="30" l="1"/>
  <c r="D29" i="30"/>
  <c r="D18" i="30" s="1"/>
  <c r="E29" i="30"/>
  <c r="C29" i="30"/>
  <c r="B15" i="24"/>
  <c r="D3" i="30"/>
  <c r="C3" i="30"/>
  <c r="E3" i="30"/>
  <c r="D35" i="30"/>
  <c r="C34" i="30"/>
  <c r="E35" i="30"/>
  <c r="B18" i="30"/>
  <c r="C17" i="30"/>
  <c r="E17" i="30"/>
  <c r="D34" i="30"/>
  <c r="O30" i="28"/>
  <c r="P30" i="28"/>
  <c r="Q30" i="28"/>
  <c r="N30" i="28"/>
  <c r="H17" i="28"/>
  <c r="C18" i="30" l="1"/>
  <c r="E18" i="30"/>
  <c r="E16" i="28"/>
  <c r="B71" i="25"/>
  <c r="D22" i="28" l="1"/>
  <c r="D23" i="30"/>
  <c r="C22" i="28"/>
  <c r="C23" i="30"/>
  <c r="B22" i="28"/>
  <c r="B23" i="30"/>
  <c r="E22" i="28"/>
  <c r="E23" i="30"/>
  <c r="E17" i="28"/>
  <c r="D16" i="28"/>
  <c r="D17" i="28" s="1"/>
  <c r="C16" i="28"/>
  <c r="C17" i="28" s="1"/>
  <c r="B34" i="28"/>
  <c r="D34" i="28" s="1"/>
  <c r="H34" i="28"/>
  <c r="I34" i="28" s="1"/>
  <c r="N34" i="28"/>
  <c r="P34" i="28" s="1"/>
  <c r="B33" i="28"/>
  <c r="D33" i="28" s="1"/>
  <c r="H33" i="28"/>
  <c r="I33" i="28" s="1"/>
  <c r="N33" i="28"/>
  <c r="P33" i="28" s="1"/>
  <c r="O28" i="28"/>
  <c r="P3" i="28"/>
  <c r="Q3" i="28"/>
  <c r="O3" i="28"/>
  <c r="I28" i="28"/>
  <c r="K16" i="28"/>
  <c r="O16" i="28"/>
  <c r="O22" i="28"/>
  <c r="P22" i="28"/>
  <c r="Q22" i="28"/>
  <c r="N22" i="28"/>
  <c r="I22" i="28"/>
  <c r="I12" i="28" s="1"/>
  <c r="J22" i="28"/>
  <c r="K22" i="28"/>
  <c r="N19" i="28" l="1"/>
  <c r="N20" i="28"/>
  <c r="N12" i="28"/>
  <c r="B12" i="28"/>
  <c r="B11" i="28" s="1"/>
  <c r="B19" i="28"/>
  <c r="B20" i="28"/>
  <c r="C20" i="28" s="1"/>
  <c r="D20" i="28" s="1"/>
  <c r="E20" i="28" s="1"/>
  <c r="B21" i="30"/>
  <c r="B20" i="30"/>
  <c r="B13" i="30"/>
  <c r="C21" i="30"/>
  <c r="D21" i="30" s="1"/>
  <c r="E21" i="30" s="1"/>
  <c r="H11" i="28"/>
  <c r="H24" i="28"/>
  <c r="K34" i="28"/>
  <c r="J34" i="28"/>
  <c r="I16" i="28"/>
  <c r="I17" i="28" s="1"/>
  <c r="E33" i="28"/>
  <c r="J28" i="28"/>
  <c r="C33" i="28"/>
  <c r="Q28" i="28"/>
  <c r="N17" i="28"/>
  <c r="P28" i="28"/>
  <c r="K28" i="28"/>
  <c r="K17" i="28" s="1"/>
  <c r="O33" i="28"/>
  <c r="J16" i="28"/>
  <c r="Q16" i="28"/>
  <c r="Q33" i="28"/>
  <c r="O34" i="28"/>
  <c r="C34" i="28"/>
  <c r="P16" i="28"/>
  <c r="Q34" i="28"/>
  <c r="E34" i="28"/>
  <c r="I20" i="28"/>
  <c r="J20" i="28" s="1"/>
  <c r="K20" i="28" s="1"/>
  <c r="O17" i="28"/>
  <c r="O20" i="28"/>
  <c r="P20" i="28" s="1"/>
  <c r="Q20" i="28" s="1"/>
  <c r="K33" i="28"/>
  <c r="J33" i="28"/>
  <c r="C3" i="28"/>
  <c r="D3" i="28"/>
  <c r="E3" i="28"/>
  <c r="B13" i="28" l="1"/>
  <c r="B14" i="28"/>
  <c r="B18" i="28"/>
  <c r="B15" i="28"/>
  <c r="B24" i="28"/>
  <c r="C23" i="28" s="1"/>
  <c r="N14" i="28"/>
  <c r="N13" i="28"/>
  <c r="N18" i="28"/>
  <c r="N15" i="28"/>
  <c r="C12" i="28"/>
  <c r="C11" i="28" s="1"/>
  <c r="O12" i="28"/>
  <c r="P12" i="28" s="1"/>
  <c r="B19" i="30"/>
  <c r="B16" i="30"/>
  <c r="B15" i="30"/>
  <c r="B14" i="30"/>
  <c r="C13" i="30"/>
  <c r="C19" i="30" s="1"/>
  <c r="B12" i="30"/>
  <c r="B25" i="30"/>
  <c r="C24" i="30" s="1"/>
  <c r="I23" i="28"/>
  <c r="H25" i="28"/>
  <c r="H27" i="28" s="1"/>
  <c r="I13" i="28"/>
  <c r="I15" i="28"/>
  <c r="I11" i="28"/>
  <c r="I14" i="28"/>
  <c r="N11" i="28"/>
  <c r="C24" i="28"/>
  <c r="D23" i="28" s="1"/>
  <c r="J12" i="28"/>
  <c r="I24" i="28"/>
  <c r="N24" i="28"/>
  <c r="O23" i="28" s="1"/>
  <c r="J17" i="28"/>
  <c r="I18" i="28"/>
  <c r="Q17" i="28"/>
  <c r="P17" i="28"/>
  <c r="I4" i="28"/>
  <c r="J4" i="28"/>
  <c r="K4" i="28"/>
  <c r="H4" i="28"/>
  <c r="H21" i="28" s="1"/>
  <c r="B154" i="25"/>
  <c r="O4" i="28"/>
  <c r="P4" i="28"/>
  <c r="Q4" i="28"/>
  <c r="N4" i="28"/>
  <c r="N21" i="28" s="1"/>
  <c r="C18" i="28" l="1"/>
  <c r="O13" i="28"/>
  <c r="P13" i="28" s="1"/>
  <c r="O18" i="28"/>
  <c r="P18" i="28" s="1"/>
  <c r="O24" i="28"/>
  <c r="P23" i="28" s="1"/>
  <c r="O11" i="28"/>
  <c r="O14" i="28"/>
  <c r="C14" i="28"/>
  <c r="O15" i="28"/>
  <c r="P15" i="28" s="1"/>
  <c r="D12" i="28"/>
  <c r="E12" i="28" s="1"/>
  <c r="C13" i="28"/>
  <c r="C15" i="28"/>
  <c r="B25" i="28"/>
  <c r="B27" i="28" s="1"/>
  <c r="H35" i="28"/>
  <c r="H9" i="28"/>
  <c r="H8" i="28"/>
  <c r="H10" i="28"/>
  <c r="H5" i="28"/>
  <c r="I5" i="28" s="1"/>
  <c r="J5" i="28" s="1"/>
  <c r="K5" i="28" s="1"/>
  <c r="N8" i="28"/>
  <c r="O8" i="28" s="1"/>
  <c r="N9" i="28"/>
  <c r="O9" i="28" s="1"/>
  <c r="P9" i="28" s="1"/>
  <c r="Q9" i="28" s="1"/>
  <c r="N10" i="28"/>
  <c r="O10" i="28" s="1"/>
  <c r="P10" i="28" s="1"/>
  <c r="Q10" i="28" s="1"/>
  <c r="N5" i="28"/>
  <c r="O5" i="28" s="1"/>
  <c r="P5" i="28" s="1"/>
  <c r="N35" i="28"/>
  <c r="B17" i="24" s="1"/>
  <c r="B21" i="24" s="1"/>
  <c r="J18" i="28"/>
  <c r="C15" i="30"/>
  <c r="B26" i="30"/>
  <c r="B28" i="30" s="1"/>
  <c r="C16" i="30"/>
  <c r="C14" i="30"/>
  <c r="J14" i="28"/>
  <c r="C25" i="30"/>
  <c r="D24" i="30" s="1"/>
  <c r="D13" i="30"/>
  <c r="C12" i="30"/>
  <c r="J13" i="28"/>
  <c r="N25" i="28"/>
  <c r="N27" i="28" s="1"/>
  <c r="J11" i="28"/>
  <c r="I25" i="28"/>
  <c r="I27" i="28" s="1"/>
  <c r="J15" i="28"/>
  <c r="J23" i="28"/>
  <c r="P11" i="28"/>
  <c r="P14" i="28"/>
  <c r="K12" i="28"/>
  <c r="J24" i="28"/>
  <c r="Q12" i="28"/>
  <c r="P24" i="28"/>
  <c r="B6" i="30"/>
  <c r="E4" i="28"/>
  <c r="B35" i="28"/>
  <c r="D4" i="28"/>
  <c r="C4" i="28"/>
  <c r="O25" i="28" l="1"/>
  <c r="O27" i="28" s="1"/>
  <c r="C25" i="28"/>
  <c r="C27" i="28" s="1"/>
  <c r="D18" i="28"/>
  <c r="E18" i="28" s="1"/>
  <c r="D13" i="28"/>
  <c r="D24" i="28"/>
  <c r="E23" i="28" s="1"/>
  <c r="N6" i="28"/>
  <c r="D14" i="28"/>
  <c r="D11" i="28"/>
  <c r="D15" i="28"/>
  <c r="C8" i="28"/>
  <c r="C5" i="28"/>
  <c r="D5" i="28" s="1"/>
  <c r="E5" i="28" s="1"/>
  <c r="E6" i="28" s="1"/>
  <c r="O35" i="28"/>
  <c r="P35" i="28" s="1"/>
  <c r="C35" i="28"/>
  <c r="D16" i="30"/>
  <c r="C52" i="28"/>
  <c r="C51" i="28"/>
  <c r="C50" i="28"/>
  <c r="D50" i="28"/>
  <c r="D51" i="28"/>
  <c r="D52" i="28"/>
  <c r="B51" i="28"/>
  <c r="B50" i="28"/>
  <c r="B52" i="28"/>
  <c r="E51" i="28"/>
  <c r="E50" i="28"/>
  <c r="E52" i="28"/>
  <c r="C4" i="30"/>
  <c r="E4" i="30"/>
  <c r="D4" i="30"/>
  <c r="B4" i="30"/>
  <c r="B22" i="30" s="1"/>
  <c r="K14" i="28"/>
  <c r="C26" i="30"/>
  <c r="C28" i="30" s="1"/>
  <c r="D12" i="30"/>
  <c r="D25" i="30"/>
  <c r="E24" i="30" s="1"/>
  <c r="E13" i="30"/>
  <c r="E25" i="30" s="1"/>
  <c r="D14" i="30"/>
  <c r="D19" i="30"/>
  <c r="D15" i="30"/>
  <c r="J25" i="28"/>
  <c r="J27" i="28" s="1"/>
  <c r="K23" i="28"/>
  <c r="K15" i="28"/>
  <c r="K13" i="28"/>
  <c r="E24" i="28"/>
  <c r="E11" i="28"/>
  <c r="O21" i="28"/>
  <c r="N26" i="28"/>
  <c r="N29" i="28" s="1"/>
  <c r="Q24" i="28"/>
  <c r="Q11" i="28"/>
  <c r="E13" i="28"/>
  <c r="E14" i="28"/>
  <c r="P25" i="28"/>
  <c r="P27" i="28" s="1"/>
  <c r="K24" i="28"/>
  <c r="K11" i="28"/>
  <c r="K18" i="28"/>
  <c r="Q23" i="28"/>
  <c r="Q13" i="28"/>
  <c r="Q15" i="28"/>
  <c r="Q14" i="28"/>
  <c r="Q18" i="28"/>
  <c r="O6" i="28"/>
  <c r="P6" i="28"/>
  <c r="Q5" i="28"/>
  <c r="Q6" i="28" s="1"/>
  <c r="N7" i="28"/>
  <c r="D25" i="28" l="1"/>
  <c r="D27" i="28" s="1"/>
  <c r="E15" i="28"/>
  <c r="C22" i="30"/>
  <c r="B72" i="28"/>
  <c r="B74" i="28" s="1"/>
  <c r="B68" i="28"/>
  <c r="B70" i="28" s="1"/>
  <c r="B64" i="28"/>
  <c r="B66" i="28" s="1"/>
  <c r="B49" i="28"/>
  <c r="D49" i="28"/>
  <c r="E49" i="28"/>
  <c r="C49" i="28"/>
  <c r="C6" i="30"/>
  <c r="D6" i="30" s="1"/>
  <c r="E6" i="30" s="1"/>
  <c r="E15" i="30"/>
  <c r="E19" i="30"/>
  <c r="E12" i="30"/>
  <c r="E16" i="30"/>
  <c r="E14" i="30"/>
  <c r="D26" i="30"/>
  <c r="D28" i="30" s="1"/>
  <c r="N32" i="28"/>
  <c r="N31" i="28" s="1"/>
  <c r="N36" i="28" s="1"/>
  <c r="Q25" i="28"/>
  <c r="Q27" i="28" s="1"/>
  <c r="E25" i="28"/>
  <c r="E27" i="28" s="1"/>
  <c r="K25" i="28"/>
  <c r="K27" i="28" s="1"/>
  <c r="P21" i="28"/>
  <c r="O26" i="28"/>
  <c r="O29" i="28" s="1"/>
  <c r="N43" i="28"/>
  <c r="Q35" i="28"/>
  <c r="C6" i="28"/>
  <c r="D6" i="28"/>
  <c r="O7" i="28"/>
  <c r="P8" i="28"/>
  <c r="B24" i="24"/>
  <c r="B57" i="28" l="1"/>
  <c r="E26" i="30"/>
  <c r="E28" i="30" s="1"/>
  <c r="Q21" i="28"/>
  <c r="Q26" i="28" s="1"/>
  <c r="Q29" i="28" s="1"/>
  <c r="P26" i="28"/>
  <c r="P29" i="28" s="1"/>
  <c r="O32" i="28"/>
  <c r="O31" i="28" s="1"/>
  <c r="O36" i="28" s="1"/>
  <c r="Q8" i="28"/>
  <c r="Q7" i="28" s="1"/>
  <c r="P7" i="28"/>
  <c r="P32" i="28" l="1"/>
  <c r="P31" i="28" s="1"/>
  <c r="P36" i="28" s="1"/>
  <c r="Q32" i="28"/>
  <c r="Q31" i="28" s="1"/>
  <c r="Q36" i="28" s="1"/>
  <c r="N44" i="28" l="1"/>
  <c r="N45" i="28" s="1"/>
  <c r="D7" i="30"/>
  <c r="E7" i="30" l="1"/>
  <c r="B7" i="30"/>
  <c r="C7" i="30"/>
  <c r="B42" i="30" l="1"/>
  <c r="B13" i="24" l="1"/>
  <c r="I3" i="28"/>
  <c r="I6" i="28" s="1"/>
  <c r="H6" i="28"/>
  <c r="K3" i="28"/>
  <c r="K6" i="28" s="1"/>
  <c r="J3" i="28"/>
  <c r="J6" i="28" s="1"/>
  <c r="H43" i="28" l="1"/>
  <c r="I10" i="28"/>
  <c r="J10" i="28" s="1"/>
  <c r="K10" i="28" s="1"/>
  <c r="I9" i="28"/>
  <c r="J9" i="28" s="1"/>
  <c r="K9" i="28" s="1"/>
  <c r="H26" i="28"/>
  <c r="H29" i="28" s="1"/>
  <c r="I35" i="28"/>
  <c r="J35" i="28" s="1"/>
  <c r="K35" i="28" s="1"/>
  <c r="B16" i="24"/>
  <c r="B22" i="24" s="1"/>
  <c r="C5" i="25"/>
  <c r="D6" i="24" l="1"/>
  <c r="D8" i="24" s="1"/>
  <c r="E8" i="24" s="1"/>
  <c r="B9" i="30"/>
  <c r="B10" i="30"/>
  <c r="C10" i="30" s="1"/>
  <c r="D10" i="30" s="1"/>
  <c r="E10" i="30" s="1"/>
  <c r="B11" i="30"/>
  <c r="C11" i="30" s="1"/>
  <c r="I21" i="28"/>
  <c r="I26" i="28" s="1"/>
  <c r="I29" i="28" s="1"/>
  <c r="H7" i="28"/>
  <c r="H32" i="28" s="1"/>
  <c r="H31" i="28" s="1"/>
  <c r="H36" i="28" s="1"/>
  <c r="B26" i="28"/>
  <c r="B29" i="28" s="1"/>
  <c r="D35" i="28"/>
  <c r="E35" i="28" s="1"/>
  <c r="B20" i="24"/>
  <c r="B36" i="30"/>
  <c r="C36" i="30" s="1"/>
  <c r="D36" i="30" s="1"/>
  <c r="E36" i="30" s="1"/>
  <c r="I8" i="28"/>
  <c r="C10" i="28"/>
  <c r="D10" i="28" s="1"/>
  <c r="E10" i="28" s="1"/>
  <c r="C9" i="28"/>
  <c r="D9" i="28" s="1"/>
  <c r="E9" i="28" s="1"/>
  <c r="C27" i="24" l="1"/>
  <c r="C25" i="24"/>
  <c r="C15" i="24"/>
  <c r="C22" i="24"/>
  <c r="J21" i="28"/>
  <c r="J26" i="28" s="1"/>
  <c r="J29" i="28" s="1"/>
  <c r="B8" i="30"/>
  <c r="E9" i="30"/>
  <c r="C9" i="30"/>
  <c r="C8" i="30" s="1"/>
  <c r="D9" i="30"/>
  <c r="C21" i="28"/>
  <c r="B23" i="24"/>
  <c r="D11" i="30"/>
  <c r="E6" i="24"/>
  <c r="B27" i="30"/>
  <c r="B30" i="30" s="1"/>
  <c r="J8" i="28"/>
  <c r="I7" i="28"/>
  <c r="K21" i="28" l="1"/>
  <c r="K26" i="28" s="1"/>
  <c r="K29" i="28" s="1"/>
  <c r="D21" i="28"/>
  <c r="C26" i="28"/>
  <c r="C29" i="28" s="1"/>
  <c r="B33" i="30"/>
  <c r="B32" i="30" s="1"/>
  <c r="B37" i="30" s="1"/>
  <c r="B32" i="28"/>
  <c r="I32" i="28"/>
  <c r="I31" i="28" s="1"/>
  <c r="I36" i="28" s="1"/>
  <c r="D8" i="30"/>
  <c r="E11" i="30"/>
  <c r="E8" i="30" s="1"/>
  <c r="D8" i="28"/>
  <c r="C7" i="28"/>
  <c r="C27" i="30"/>
  <c r="C30" i="30" s="1"/>
  <c r="D22" i="30"/>
  <c r="K8" i="28"/>
  <c r="K7" i="28" s="1"/>
  <c r="J7" i="28"/>
  <c r="B31" i="28" l="1"/>
  <c r="B36" i="28" s="1"/>
  <c r="E21" i="28"/>
  <c r="E26" i="28" s="1"/>
  <c r="E29" i="28" s="1"/>
  <c r="D26" i="28"/>
  <c r="D29" i="28" s="1"/>
  <c r="J32" i="28"/>
  <c r="J31" i="28" s="1"/>
  <c r="J36" i="28" s="1"/>
  <c r="K32" i="28"/>
  <c r="K31" i="28" s="1"/>
  <c r="K36" i="28" s="1"/>
  <c r="C33" i="30"/>
  <c r="C32" i="30" s="1"/>
  <c r="C37" i="30" s="1"/>
  <c r="C32" i="28"/>
  <c r="C31" i="28" s="1"/>
  <c r="C36" i="28" s="1"/>
  <c r="E8" i="28"/>
  <c r="E7" i="28" s="1"/>
  <c r="D7" i="28"/>
  <c r="E22" i="30"/>
  <c r="E27" i="30" s="1"/>
  <c r="E30" i="30" s="1"/>
  <c r="E33" i="30" s="1"/>
  <c r="E32" i="30" s="1"/>
  <c r="D27" i="30"/>
  <c r="D30" i="30" s="1"/>
  <c r="H44" i="28" l="1"/>
  <c r="H45" i="28" s="1"/>
  <c r="D32" i="28"/>
  <c r="D31" i="28" s="1"/>
  <c r="D36" i="28" s="1"/>
  <c r="E32" i="28"/>
  <c r="E31" i="28" s="1"/>
  <c r="E36" i="28" s="1"/>
  <c r="D33" i="30"/>
  <c r="D32" i="30" s="1"/>
  <c r="D37" i="30" s="1"/>
  <c r="E37" i="30"/>
  <c r="B43" i="30" l="1"/>
  <c r="B58" i="28"/>
  <c r="B59" i="28" l="1"/>
  <c r="B81" i="28" s="1"/>
  <c r="B50" i="30"/>
  <c r="B44" i="30"/>
  <c r="B51" i="30"/>
  <c r="B5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4" authorId="0" shapeId="0" xr:uid="{198133BF-0D0D-495C-B22C-2F27AFC7AD2C}">
      <text>
        <r>
          <rPr>
            <sz val="9"/>
            <color indexed="81"/>
            <rFont val="Segoe UI"/>
            <family val="2"/>
          </rPr>
          <t>Referente ao protocolado 16.411.595-0, Mov. 49 que prevê reajuste de 5,11236%</t>
        </r>
      </text>
    </comment>
    <comment ref="A5" authorId="0" shapeId="0" xr:uid="{EE15F863-A3C4-401B-A7C8-A45C19B29D63}">
      <text>
        <r>
          <rPr>
            <sz val="9"/>
            <color indexed="81"/>
            <rFont val="Segoe UI"/>
            <family val="2"/>
          </rPr>
          <t>Inclui a Parcela anual do diferimento</t>
        </r>
      </text>
    </comment>
    <comment ref="A6" authorId="0" shapeId="0" xr:uid="{9A8C64F5-8719-4481-85C4-5B9D50B9BFEC}">
      <text>
        <r>
          <rPr>
            <sz val="9"/>
            <color indexed="81"/>
            <rFont val="Segoe UI"/>
            <family val="2"/>
          </rPr>
          <t>Inclui a parcela financeira da conta gráfica da tarifa A</t>
        </r>
      </text>
    </comment>
  </commentList>
</comments>
</file>

<file path=xl/sharedStrings.xml><?xml version="1.0" encoding="utf-8"?>
<sst xmlns="http://schemas.openxmlformats.org/spreadsheetml/2006/main" count="448" uniqueCount="276">
  <si>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</si>
  <si>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</si>
  <si>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</si>
  <si>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</si>
  <si>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</si>
  <si>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</si>
  <si>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</si>
  <si>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</si>
  <si>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</si>
  <si>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</si>
  <si>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</si>
  <si>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</si>
  <si>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Outras Receitas</t>
  </si>
  <si>
    <t>Tarifa P0 Água+Esgoto (TB)</t>
  </si>
  <si>
    <t>Tarifa Parcela A (TA)</t>
  </si>
  <si>
    <t>Tarifa Média (Água)</t>
  </si>
  <si>
    <t>Tarifa Média (Esgoto)</t>
  </si>
  <si>
    <t>Tarifa Média (TA+TB)</t>
  </si>
  <si>
    <t>P0 (Tarifa B)</t>
  </si>
  <si>
    <t>Custo Operacional</t>
  </si>
  <si>
    <t>I-Dados</t>
  </si>
  <si>
    <t>A-Tarifa-P0</t>
  </si>
  <si>
    <t>A-fator-X</t>
  </si>
  <si>
    <t>R_TarifaRTP-2021</t>
  </si>
  <si>
    <t>Informações contábeis, projeções e investimentos, obtidos da SANEPAR. Resultado do cálculo das demais Notas Técnicas</t>
  </si>
  <si>
    <t>Cálculo da tarifa média econômica P0</t>
  </si>
  <si>
    <t>Cálculo do Fator-X, que trata-se de um percentual de compartilhamento dos ganhos de escala</t>
  </si>
  <si>
    <t>Apresenta o cálculo da Tarifa Média para o ciclo tarifário de 2021 a 2024</t>
  </si>
  <si>
    <t>2ª RTP - 2021</t>
  </si>
  <si>
    <t>Esta planilha foi desenvolvida como parte integrante da 2ª Revisão Tarifária Periódica dos serviços de saneamento básico do Estado do Paraná. 
Seu conteúdo refere-se ao cálculo da tarifa média para o ciclo tarifário dos anos de 2021 a 2024. A metodologia adotada é descrita nas Notas Técnicas 002 e 007, envolvendo o cálculo da tarifa média econômica P0 e o Fator-X, respectivamente.
O objetivo das informações desta planilha é consolidar os parâmetros calculados nas demais Notas Técnicas metodologias da RTP a fim de se calcular a tarifa básica de saneamento.
Os resultados dos cálculos da planilha encontram-se nas abas "R-TarifaRTP-2021" e "R-GraficosTabelas".</t>
  </si>
  <si>
    <t>Tarifa P0 (Água)</t>
  </si>
  <si>
    <t>Tarifa P0 (Esgoto)</t>
  </si>
  <si>
    <t>Componente da Tarifa</t>
  </si>
  <si>
    <t xml:space="preserve">      VPA (Água)</t>
  </si>
  <si>
    <t xml:space="preserve">      VPA (Esgoto)</t>
  </si>
  <si>
    <t xml:space="preserve">      Mercado de Referência (Água m³)</t>
  </si>
  <si>
    <t xml:space="preserve">      Mercado de Referência (Esgoto m³)</t>
  </si>
  <si>
    <t xml:space="preserve">   Tarifa Parcela A (Água)</t>
  </si>
  <si>
    <t xml:space="preserve">   Tarifa Parcela A (Esgoto)</t>
  </si>
  <si>
    <t>Fonte: Dados e Elaboração: AGEPAR (2020)</t>
  </si>
  <si>
    <t>Resultado 2ª RTP - 2021-2024</t>
  </si>
  <si>
    <t>Verificação:</t>
  </si>
  <si>
    <t>BRR Bruta</t>
  </si>
  <si>
    <t>BRR (QRR)</t>
  </si>
  <si>
    <t>BRR Líquida</t>
  </si>
  <si>
    <t>Quota de Reintegração Regulatória</t>
  </si>
  <si>
    <t>Receitas Irrecuperáveis</t>
  </si>
  <si>
    <t>VPL Receita</t>
  </si>
  <si>
    <t>VPL Despesa</t>
  </si>
  <si>
    <t>Diferença</t>
  </si>
  <si>
    <t>Remuneração de Capital Bruta</t>
  </si>
  <si>
    <t>Mercado (m³)</t>
  </si>
  <si>
    <t xml:space="preserve">   Custo Administrativo</t>
  </si>
  <si>
    <t xml:space="preserve">   Custo Comercial</t>
  </si>
  <si>
    <t xml:space="preserve">   Custo O&amp;M</t>
  </si>
  <si>
    <t xml:space="preserve">   Ativos Imobilizados</t>
  </si>
  <si>
    <t xml:space="preserve">      Terrenos</t>
  </si>
  <si>
    <t xml:space="preserve">      Reserva Operacional Móvel</t>
  </si>
  <si>
    <t xml:space="preserve">   Obras em Andamento</t>
  </si>
  <si>
    <t xml:space="preserve">   Ativos Imobilizados a Serem Incorporados</t>
  </si>
  <si>
    <t xml:space="preserve">   Capital de Giro</t>
  </si>
  <si>
    <t xml:space="preserve">   Investimento</t>
  </si>
  <si>
    <t xml:space="preserve">      Depreciação Acumulada</t>
  </si>
  <si>
    <t xml:space="preserve">         Depreciação Anual</t>
  </si>
  <si>
    <t xml:space="preserve">   Taxa de depreciação</t>
  </si>
  <si>
    <t xml:space="preserve">   WACC Bruto (Imposto de Renda)</t>
  </si>
  <si>
    <t xml:space="preserve">   Base Cálculo Receitas Irrecuperáveis</t>
  </si>
  <si>
    <t xml:space="preserve">      Taxa de Inadimplência</t>
  </si>
  <si>
    <t xml:space="preserve">      % PASEP/COFINS (alíquotas efetivas)</t>
  </si>
  <si>
    <t xml:space="preserve">      VPA</t>
  </si>
  <si>
    <t>Valor</t>
  </si>
  <si>
    <t>Tabela - Componentes do Cálculo da Tarifa Econômica Média (Água e Esgoto)</t>
  </si>
  <si>
    <t xml:space="preserve">      Não Onerosos Brutos</t>
  </si>
  <si>
    <t>Tabela - Cálculo da Tarifa Média Econômica P0</t>
  </si>
  <si>
    <t>Cálculo da Tarifa Média P0</t>
  </si>
  <si>
    <t>Fonte: Dados SANEPAR (2020). Elaboração: AGEPAR (2020)</t>
  </si>
  <si>
    <t>Tarifa P0 Água</t>
  </si>
  <si>
    <t>Tarifa P0 Esgoto</t>
  </si>
  <si>
    <t>Tabela - Componentes do Cálculo da Tarifa Econômica (Água)</t>
  </si>
  <si>
    <t>Componente de Cálculo da Tarifa Média P0</t>
  </si>
  <si>
    <t>Componente de Cálculo da Tarifa Média P0 - Água</t>
  </si>
  <si>
    <t>Receita - Água</t>
  </si>
  <si>
    <t>Despesa - Água</t>
  </si>
  <si>
    <t>Tabela - Cálculo da Tarifa Econômica P0 - Água</t>
  </si>
  <si>
    <t>Cálculo da Tarifa Média P0 - Água</t>
  </si>
  <si>
    <t>Tabela - Componentes do Cálculo da Tarifa Econômica (Esgoto)</t>
  </si>
  <si>
    <t>Componente de Cálculo da Tarifa Média P0 - Esgoto</t>
  </si>
  <si>
    <t>Receita - Esgoto</t>
  </si>
  <si>
    <t>Despesa - Esgoto</t>
  </si>
  <si>
    <t>Tabela - Cálculo da Tarifa Econômica P0 - Esgoto</t>
  </si>
  <si>
    <t>Cálculo da Tarifa Média P0 - Esgoto</t>
  </si>
  <si>
    <t>Receita - Água e Esgoto</t>
  </si>
  <si>
    <t>Despesa - Água e Esgoto</t>
  </si>
  <si>
    <t>Tabela - Dados de Mercado</t>
  </si>
  <si>
    <t>Volume faturado de água (m3)</t>
  </si>
  <si>
    <t>Volume faturado de esgoto (m3)</t>
  </si>
  <si>
    <t>Total de Volume Faturado (m3)</t>
  </si>
  <si>
    <t>Ligações de água (unidades)</t>
  </si>
  <si>
    <t>Ligações de esgoto (unidades)</t>
  </si>
  <si>
    <t>Total de Ligações (unidades)</t>
  </si>
  <si>
    <t>Tabela - Custos Operacionais</t>
  </si>
  <si>
    <t>Custo de Pessoal (Água)</t>
  </si>
  <si>
    <t>Custo de Pessoal (Esgoto)</t>
  </si>
  <si>
    <t>Custo de Materiais (Água)</t>
  </si>
  <si>
    <t>Custo de Materiais (Esgoto)</t>
  </si>
  <si>
    <t>Custo de Serviços de Terceiros (Água)</t>
  </si>
  <si>
    <t>Custo de Serviços de Terceiros (Esgoto)</t>
  </si>
  <si>
    <t>Outros Custos (Água)</t>
  </si>
  <si>
    <t>Outros Custos (Esgoto)</t>
  </si>
  <si>
    <t>Custo Operacional Anual (R$)</t>
  </si>
  <si>
    <t>Custo Administração (Água)</t>
  </si>
  <si>
    <t>Custo Administração (Esgoto)</t>
  </si>
  <si>
    <t>Gestão Comercial (Água)</t>
  </si>
  <si>
    <t>Gestão Comercial (Esgoto)</t>
  </si>
  <si>
    <t>Custo O&amp;M (Água)</t>
  </si>
  <si>
    <t>Custo O&amp;M (Esgoto)</t>
  </si>
  <si>
    <t>Item</t>
  </si>
  <si>
    <t>PARCELA A</t>
  </si>
  <si>
    <t>Parcela A (Encargos Água)</t>
  </si>
  <si>
    <t>Parcela A (Energia Elétrica Água)</t>
  </si>
  <si>
    <t>Parcela A (Químicos Água)</t>
  </si>
  <si>
    <t>Parcela A (Encargos Esgoto)</t>
  </si>
  <si>
    <t>Parcela A (Energia Elétrica Esgoto)</t>
  </si>
  <si>
    <t>Parcela A (Quimicos Esgoto)</t>
  </si>
  <si>
    <t>Parcela A (R$)</t>
  </si>
  <si>
    <t>RECEITAS (sem PIS/COFINS)</t>
  </si>
  <si>
    <t>Receitas de Serviços (Água)</t>
  </si>
  <si>
    <t>Receitas de Serviços (Esgoto)</t>
  </si>
  <si>
    <t>Serviços Prestados a Prefeituras (Água)</t>
  </si>
  <si>
    <t>Serviços Prestados a Prefeituras (Esgoto)</t>
  </si>
  <si>
    <t>Outras Receitas Operacionais (Água)</t>
  </si>
  <si>
    <t>Outras Receitas Operacionais (Esgoto)</t>
  </si>
  <si>
    <t>Outras Receitas (R$)</t>
  </si>
  <si>
    <t>Investimentos (Água)</t>
  </si>
  <si>
    <t>Investimentos (Esgoto)</t>
  </si>
  <si>
    <t>Adm e Outros (Água)</t>
  </si>
  <si>
    <t>Adm e Outros (Esgoto)</t>
  </si>
  <si>
    <t>Total Investimentos (R$)</t>
  </si>
  <si>
    <t>Custo de Capital</t>
  </si>
  <si>
    <t>WACC</t>
  </si>
  <si>
    <t>WACC Bruto (Imposto de Renda)</t>
  </si>
  <si>
    <t>% PASEP/COFINS (alíquotas efetivas)</t>
  </si>
  <si>
    <t>Taxa de inadimplência (%) - Água</t>
  </si>
  <si>
    <t>Taxa de inadimplência (%) - Esgoto</t>
  </si>
  <si>
    <t>Taxa de inadimplência (%) - Água+Esgoto</t>
  </si>
  <si>
    <t>Onerosos (Água)</t>
  </si>
  <si>
    <t>Não Onerosos (Água)</t>
  </si>
  <si>
    <t>Onerosos (Esgoto)</t>
  </si>
  <si>
    <t>Não Onerosos (Esgoto)</t>
  </si>
  <si>
    <t>Terrenos (Água)</t>
  </si>
  <si>
    <t>Terrenos (Esgoto)</t>
  </si>
  <si>
    <t>Reserva Operacional Móvel (Água)</t>
  </si>
  <si>
    <t>Reserva Operacional Móvel (Esgoto)</t>
  </si>
  <si>
    <t>Ativos Imobilizados (R$)</t>
  </si>
  <si>
    <t>Depreciação da BRR inicial (Água)</t>
  </si>
  <si>
    <t>Depreciação da BRR inicial (Esgoto)</t>
  </si>
  <si>
    <t>Depreciação Acumulada (R$)</t>
  </si>
  <si>
    <t>Obras em Andamento (Água)</t>
  </si>
  <si>
    <t>Obras em Andamento (Esgoto)</t>
  </si>
  <si>
    <t>Obras em Andamento (R$)</t>
  </si>
  <si>
    <t>Ativos Imobilizados a Serem Incorporados (Água)</t>
  </si>
  <si>
    <t>Ativos Imobilizados a Serem Incorporados (Esgoto)</t>
  </si>
  <si>
    <t>Ativos Imobilizados a Serem Incorporados (R$)</t>
  </si>
  <si>
    <t>Capital de Giro (Água)</t>
  </si>
  <si>
    <t>Capital de Giro (Esgoto)</t>
  </si>
  <si>
    <t>Valor Percentual</t>
  </si>
  <si>
    <t>Capital de Giro (R$)</t>
  </si>
  <si>
    <t>Vida Útil, anos (Água)</t>
  </si>
  <si>
    <t>Taxa de Depreciação (Água)</t>
  </si>
  <si>
    <t>Vida Útil, anos (Esgoto)</t>
  </si>
  <si>
    <t>Taxa de Depreciação (Esgoto)</t>
  </si>
  <si>
    <t>Vida Útil, anos (Água+Esgoto)</t>
  </si>
  <si>
    <t>Taxa de Depreciação (Água+Esgoto)</t>
  </si>
  <si>
    <t>Tabela - Custos da Parcela A</t>
  </si>
  <si>
    <t>Tabela - Investimentos</t>
  </si>
  <si>
    <t>Itens</t>
  </si>
  <si>
    <t>Tabela - Custos de Capital</t>
  </si>
  <si>
    <t>Tabela - Tributos e Encargos</t>
  </si>
  <si>
    <t>Tributos e Encargos</t>
  </si>
  <si>
    <t>Base de Ativos Regulatória</t>
  </si>
  <si>
    <t>Tabela - Base de Ativos Regulatória</t>
  </si>
  <si>
    <t>Tabela - Parâmetros e Premissas</t>
  </si>
  <si>
    <t>Percentual de Dedução - Outras Receitas</t>
  </si>
  <si>
    <t>Ciclo Tarifário - Ano de Início</t>
  </si>
  <si>
    <t>Ciclo Tarifário - Ano de Término</t>
  </si>
  <si>
    <t>Ciclo Tarifário - Quantidade de anos</t>
  </si>
  <si>
    <t>Terrenos Não Onerosos (Água)</t>
  </si>
  <si>
    <t>Terrenos Não Onerosos (Esgoto)</t>
  </si>
  <si>
    <t xml:space="preserve">      Onerosos</t>
  </si>
  <si>
    <t xml:space="preserve">   Terrenos Não Onerosos</t>
  </si>
  <si>
    <t xml:space="preserve">   Depreciação Não Onerosos</t>
  </si>
  <si>
    <t>Ativos Imobilizados (Água) (R$)</t>
  </si>
  <si>
    <t>Ativos Imobilizados (Esgoto) (R$)</t>
  </si>
  <si>
    <t>Terrenos Não Onerosos (Água + Esgoto)</t>
  </si>
  <si>
    <t>Unidades Consumidoras</t>
  </si>
  <si>
    <t>P0 (Tarifa B) - Fator-X</t>
  </si>
  <si>
    <t>Fator-X</t>
  </si>
  <si>
    <t>Tabela - Tarifa Média - Variação IRT 2020 e 2a RTP 2021</t>
  </si>
  <si>
    <t>Tarifa Parcela B (TB)</t>
  </si>
  <si>
    <t>Compensações</t>
  </si>
  <si>
    <t>IRT 2020</t>
  </si>
  <si>
    <t>Tarifa</t>
  </si>
  <si>
    <t>Gráfico - Variação da Tarifa - Componentes</t>
  </si>
  <si>
    <t>Participação na Variação</t>
  </si>
  <si>
    <t>Tabela - Receitas Irrecuperáveis</t>
  </si>
  <si>
    <t>2021 a 2024</t>
  </si>
  <si>
    <t>Adm e Outros (Total)</t>
  </si>
  <si>
    <t>Tabela - Compensações</t>
  </si>
  <si>
    <t>Índice de Atualização</t>
  </si>
  <si>
    <t>Taxa Selic</t>
  </si>
  <si>
    <t>IPCA</t>
  </si>
  <si>
    <t>Adicional de Tarifa - Compensações</t>
  </si>
  <si>
    <t>Receita - Compensações</t>
  </si>
  <si>
    <t>Meta Selic (a.a.) - Out/2020</t>
  </si>
  <si>
    <t>IPCA - Acumulado 12 meses - Out/2020</t>
  </si>
  <si>
    <t>Tarifa Diferimento - WACC</t>
  </si>
  <si>
    <t>Tarifa Diferimento - Selic</t>
  </si>
  <si>
    <t>Tarifa Diferimento - IPCA</t>
  </si>
  <si>
    <t>(+) Compensação Outras Receitas (Acima do previsto para 1o Ciclo)</t>
  </si>
  <si>
    <t>(+) IRPJ e CSLL - Diferença previsto e efetivo Ciclo 1a RTP</t>
  </si>
  <si>
    <t>Indexadas ao WACC</t>
  </si>
  <si>
    <t>Indexadas à Selic</t>
  </si>
  <si>
    <t>Indexadas ao IPCA</t>
  </si>
  <si>
    <t>(-) Diferimento - Saldo Financeiro Projetado (05/2021)</t>
  </si>
  <si>
    <t>(-) Suspensão IRT 2020</t>
  </si>
  <si>
    <t>Fonte: Agepar (2020). Protocolado 17.115.191-0</t>
  </si>
  <si>
    <t>Elaboração: Agepar (2020). Procolado 17.009.823-4.</t>
  </si>
  <si>
    <t>Fonte: Agepar (2020). Protocolado 17.002.098-7</t>
  </si>
  <si>
    <t>Outras Receitas Operacionais (indiretas)</t>
  </si>
  <si>
    <t>Tarifa (Parcela B + Compensações)</t>
  </si>
  <si>
    <t>Tarifa P0 Água+Esgoto (Parcela B)</t>
  </si>
  <si>
    <t>Tarifa Adicional Total - Compensações</t>
  </si>
  <si>
    <t>Custo Energia</t>
  </si>
  <si>
    <t>Custo Químicos</t>
  </si>
  <si>
    <t>Custo Encargos</t>
  </si>
  <si>
    <t>Custos Totais</t>
  </si>
  <si>
    <t>Fonte: Dados Sanepar (2020) - Protocolado 17.152.411-3 (Anexos 5 e 6). Elaboração: Agepar (2020).</t>
  </si>
  <si>
    <t>Proporção de custos Água (1a RTP)</t>
  </si>
  <si>
    <t>Proporção de custos Esgoto (1a RTP)</t>
  </si>
  <si>
    <t>Fonte: Dados Sanepar (2020) - Protocolados 16.958.896-1 (Anexo 4) e 16.411.595-0 (Anexo 6). Elaboração: Agepar (2020).</t>
  </si>
  <si>
    <t>Tabela - Outras Receitas</t>
  </si>
  <si>
    <t>Fonte: Dados Sanepar (2020) - Protocolado 17.002.046-4 (Anexo 3). Elaboração: Agepar (2020).</t>
  </si>
  <si>
    <t>Fonte: Dados Sanepar (2020) - Protocolados  17.009.823-4 e 17.002.046-4 (Anexo 3). Elaboração: Agepar (2020).</t>
  </si>
  <si>
    <t>Impostos inclusos no WACC (%)</t>
  </si>
  <si>
    <t>IRPJ</t>
  </si>
  <si>
    <t>CSLL</t>
  </si>
  <si>
    <t>Item do Capital de Giro</t>
  </si>
  <si>
    <t>Fonte: Dados Sanepar (2020) - Protocolado 17.163.581-0. Elaboração: Agepar (2020).</t>
  </si>
  <si>
    <t>Tabela - Capital de Giro</t>
  </si>
  <si>
    <t>IPCA - Variação do índice de Dez/2016 a Out/2020</t>
  </si>
  <si>
    <t>2020 - atualizado</t>
  </si>
  <si>
    <t>Fonte: Dados Sanepar (2020) - Protocolado 16.958.896-1 (Anexo 4) e 17.178.978-8. Elaboração: Agepar (2020).</t>
  </si>
  <si>
    <t>IRT 2019</t>
  </si>
  <si>
    <t>Elaboração: Agepar (2020)</t>
  </si>
  <si>
    <t>Participação na Tarifa</t>
  </si>
  <si>
    <t>-</t>
  </si>
  <si>
    <t>Gráfico - Composição da Tarifa - Componentes</t>
  </si>
  <si>
    <t>Fonte: Dados Sanepar (2020) - Protocolado 17.089.629-7; 17.030.802-6 (Anexo 1 e 2); 17.002.046-4 (Anexo 4); 17.002.082-0  (Anexo 4). Elaboração: Agepar (2020).</t>
  </si>
  <si>
    <t>Onerosos (Adm)</t>
  </si>
  <si>
    <t>Não Onerosos (Adm)</t>
  </si>
  <si>
    <t>Terrenos (Adm)</t>
  </si>
  <si>
    <t>Reserva Operacional Móvel (Adm)</t>
  </si>
  <si>
    <t>Vida útil regulatória, anos (Água + Esgoto + Adm)</t>
  </si>
  <si>
    <t>Taxa de depreciação regulatória (Água + Esgoto  + Adm)</t>
  </si>
  <si>
    <t>Ativos Imobilizados (Adm) (R$)</t>
  </si>
  <si>
    <t>Depreciação da BRR inicial (Adm)</t>
  </si>
  <si>
    <t>VPL</t>
  </si>
  <si>
    <t>Calculado na P0</t>
  </si>
  <si>
    <t>Calculado no Fator-X</t>
  </si>
  <si>
    <t>Tabela - Diferença VPLs P0 e Fator-X</t>
  </si>
  <si>
    <t>Componente da Tarifa Adicional de Compensação</t>
  </si>
  <si>
    <t>Tabela - Cálculo da Tarifa Adicional de Compensação</t>
  </si>
  <si>
    <t>Tabela - Cálculo da Tarifa Média Econômica P0 + Tarifa Adicional Compensações</t>
  </si>
  <si>
    <t>Elaboração: AGEPAR (2020)</t>
  </si>
  <si>
    <t>Tabela - Tarifa Final - Composição</t>
  </si>
  <si>
    <t>Fonte: Dados Sanepar (2020) - Protocolado 16.958.896-1 (Anexo 4) e 17.188.924-3. Elaboração: Agepar (2020).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</si>
</sst>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000"/>
    <numFmt numFmtId="165" formatCode="&quot;R$&quot;#,##0.00"/>
    <numFmt numFmtId="166" formatCode="&quot;R$&quot;#,##0.0000"/>
    <numFmt numFmtId="167" formatCode="#,##0.000"/>
    <numFmt numFmtId="168" formatCode="#,##0.0000"/>
    <numFmt numFmtId="169" formatCode="_-* #,##0_-;\-* #,##0_-;_-* &quot;-&quot;??_-;_-@_-"/>
    <numFmt numFmtId="170" formatCode="_-* #,##0.000_-;\-* #,##0.000_-;_-* &quot;-&quot;??_-;_-@_-"/>
    <numFmt numFmtId="171" formatCode="0.000"/>
    <numFmt numFmtId="172" formatCode="_-* #,##0.000_-;\-* #,##0.000_-;_-* &quot;-&quot;???_-;_-@_-"/>
    <numFmt numFmtId="173" formatCode="_-* #,##0.00000000_-;\-* #,##0.00000000_-;_-* &quot;-&quot;??_-;_-@_-"/>
    <numFmt numFmtId="174" formatCode="0.0000%"/>
    <numFmt numFmtId="175" formatCode="_(* #,##0.00_);_(* \(#,##0.00\);_(* &quot;-&quot;??_);_(@_)"/>
    <numFmt numFmtId="176" formatCode="0.00000%"/>
    <numFmt numFmtId="177" formatCode="0.0%"/>
    <numFmt numFmtId="178" formatCode="#,##0_ ;\-#,##0\ "/>
  </numFmts>
  <fonts count="14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9"/>
      <color indexed="81"/>
      <name val="Segoe UI"/>
      <family val="2"/>
    </font>
    <font>
      <sz val="8"/>
      <color theme="4" tint="-0.24994659260841701"/>
      <name val="Century Gothic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" fillId="7" borderId="0" applyBorder="0" applyAlignment="0" applyProtection="0"/>
    <xf numFmtId="175" fontId="2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2" borderId="7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13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164" fontId="4" fillId="2" borderId="17" xfId="0" applyNumberFormat="1" applyFont="1" applyFill="1" applyBorder="1"/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66" fontId="6" fillId="5" borderId="15" xfId="1" applyNumberFormat="1" applyFont="1" applyFill="1" applyBorder="1" applyAlignment="1">
      <alignment horizontal="right" wrapText="1"/>
    </xf>
    <xf numFmtId="165" fontId="4" fillId="2" borderId="15" xfId="5" applyNumberFormat="1" applyFont="1" applyFill="1" applyBorder="1" applyAlignment="1">
      <alignment horizontal="right"/>
    </xf>
    <xf numFmtId="4" fontId="6" fillId="3" borderId="15" xfId="5" applyNumberFormat="1" applyFont="1" applyFill="1" applyBorder="1" applyAlignment="1">
      <alignment horizontal="center" wrapText="1"/>
    </xf>
    <xf numFmtId="166" fontId="4" fillId="4" borderId="15" xfId="5" applyNumberFormat="1" applyFont="1" applyFill="1" applyBorder="1" applyAlignment="1">
      <alignment horizontal="right" wrapText="1"/>
    </xf>
    <xf numFmtId="165" fontId="4" fillId="2" borderId="15" xfId="5" applyNumberFormat="1" applyFont="1" applyFill="1" applyBorder="1" applyAlignment="1">
      <alignment horizontal="right" wrapText="1"/>
    </xf>
    <xf numFmtId="166" fontId="4" fillId="4" borderId="15" xfId="5" applyNumberFormat="1" applyFont="1" applyFill="1" applyBorder="1" applyAlignment="1">
      <alignment horizontal="right"/>
    </xf>
    <xf numFmtId="166" fontId="5" fillId="6" borderId="15" xfId="5" applyNumberFormat="1" applyFont="1" applyFill="1" applyBorder="1" applyAlignment="1">
      <alignment horizontal="right"/>
    </xf>
    <xf numFmtId="166" fontId="4" fillId="2" borderId="15" xfId="5" applyNumberFormat="1" applyFont="1" applyFill="1" applyBorder="1" applyAlignment="1">
      <alignment horizontal="right"/>
    </xf>
    <xf numFmtId="0" fontId="4" fillId="0" borderId="0" xfId="0" applyFont="1" applyBorder="1"/>
    <xf numFmtId="4" fontId="6" fillId="3" borderId="20" xfId="5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168" fontId="8" fillId="0" borderId="0" xfId="0" applyNumberFormat="1" applyFont="1" applyFill="1" applyBorder="1" applyAlignment="1">
      <alignment horizontal="left" vertical="center" wrapText="1" indent="1"/>
    </xf>
    <xf numFmtId="0" fontId="6" fillId="3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wrapText="1"/>
    </xf>
    <xf numFmtId="0" fontId="5" fillId="6" borderId="21" xfId="0" applyFont="1" applyFill="1" applyBorder="1" applyAlignment="1">
      <alignment horizontal="left"/>
    </xf>
    <xf numFmtId="0" fontId="6" fillId="5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 wrapText="1"/>
    </xf>
    <xf numFmtId="0" fontId="6" fillId="3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wrapText="1"/>
    </xf>
    <xf numFmtId="0" fontId="5" fillId="6" borderId="23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167" fontId="4" fillId="2" borderId="22" xfId="5" applyNumberFormat="1" applyFont="1" applyFill="1" applyBorder="1" applyAlignment="1">
      <alignment horizontal="right" wrapText="1"/>
    </xf>
    <xf numFmtId="0" fontId="0" fillId="2" borderId="22" xfId="0" applyFont="1" applyFill="1" applyBorder="1" applyAlignment="1">
      <alignment horizontal="left"/>
    </xf>
    <xf numFmtId="3" fontId="4" fillId="2" borderId="22" xfId="5" applyNumberFormat="1" applyFont="1" applyFill="1" applyBorder="1" applyAlignment="1">
      <alignment horizontal="right"/>
    </xf>
    <xf numFmtId="3" fontId="4" fillId="2" borderId="22" xfId="5" applyNumberFormat="1" applyFont="1" applyFill="1" applyBorder="1" applyAlignment="1">
      <alignment horizontal="right" wrapText="1"/>
    </xf>
    <xf numFmtId="0" fontId="6" fillId="3" borderId="16" xfId="0" applyNumberFormat="1" applyFont="1" applyFill="1" applyBorder="1" applyAlignment="1">
      <alignment horizontal="center"/>
    </xf>
    <xf numFmtId="169" fontId="6" fillId="5" borderId="24" xfId="5" applyNumberFormat="1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left" wrapText="1"/>
    </xf>
    <xf numFmtId="0" fontId="0" fillId="0" borderId="22" xfId="0" applyFont="1" applyBorder="1" applyAlignment="1">
      <alignment horizontal="left"/>
    </xf>
    <xf numFmtId="0" fontId="5" fillId="6" borderId="25" xfId="0" applyFont="1" applyFill="1" applyBorder="1" applyAlignment="1">
      <alignment horizontal="left"/>
    </xf>
    <xf numFmtId="0" fontId="6" fillId="3" borderId="18" xfId="0" quotePrefix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left" wrapText="1"/>
    </xf>
    <xf numFmtId="169" fontId="4" fillId="2" borderId="17" xfId="5" applyNumberFormat="1" applyFont="1" applyFill="1" applyBorder="1"/>
    <xf numFmtId="169" fontId="5" fillId="6" borderId="23" xfId="5" applyNumberFormat="1" applyFont="1" applyFill="1" applyBorder="1" applyAlignment="1">
      <alignment horizontal="left"/>
    </xf>
    <xf numFmtId="164" fontId="0" fillId="2" borderId="17" xfId="0" applyNumberFormat="1" applyFont="1" applyFill="1" applyBorder="1"/>
    <xf numFmtId="10" fontId="4" fillId="2" borderId="17" xfId="6" applyNumberFormat="1" applyFont="1" applyFill="1" applyBorder="1"/>
    <xf numFmtId="0" fontId="4" fillId="2" borderId="17" xfId="5" applyNumberFormat="1" applyFont="1" applyFill="1" applyBorder="1"/>
    <xf numFmtId="169" fontId="5" fillId="4" borderId="21" xfId="5" applyNumberFormat="1" applyFont="1" applyFill="1" applyBorder="1" applyAlignment="1">
      <alignment horizontal="right" wrapText="1"/>
    </xf>
    <xf numFmtId="169" fontId="5" fillId="4" borderId="21" xfId="0" applyNumberFormat="1" applyFont="1" applyFill="1" applyBorder="1" applyAlignment="1">
      <alignment horizontal="left" wrapText="1"/>
    </xf>
    <xf numFmtId="169" fontId="5" fillId="4" borderId="21" xfId="5" applyNumberFormat="1" applyFont="1" applyFill="1" applyBorder="1" applyAlignment="1">
      <alignment horizontal="left" wrapText="1"/>
    </xf>
    <xf numFmtId="169" fontId="5" fillId="4" borderId="23" xfId="5" applyNumberFormat="1" applyFont="1" applyFill="1" applyBorder="1" applyAlignment="1">
      <alignment horizontal="left" wrapText="1"/>
    </xf>
    <xf numFmtId="169" fontId="4" fillId="0" borderId="22" xfId="5" applyNumberFormat="1" applyFont="1" applyBorder="1"/>
    <xf numFmtId="169" fontId="4" fillId="0" borderId="22" xfId="0" applyNumberFormat="1" applyFont="1" applyBorder="1"/>
    <xf numFmtId="10" fontId="4" fillId="0" borderId="22" xfId="0" applyNumberFormat="1" applyFont="1" applyBorder="1"/>
    <xf numFmtId="169" fontId="5" fillId="4" borderId="24" xfId="5" applyNumberFormat="1" applyFont="1" applyFill="1" applyBorder="1" applyAlignment="1">
      <alignment horizontal="left" wrapText="1"/>
    </xf>
    <xf numFmtId="169" fontId="5" fillId="4" borderId="23" xfId="0" applyNumberFormat="1" applyFont="1" applyFill="1" applyBorder="1" applyAlignment="1">
      <alignment horizontal="left" wrapText="1"/>
    </xf>
    <xf numFmtId="169" fontId="5" fillId="6" borderId="24" xfId="0" applyNumberFormat="1" applyFont="1" applyFill="1" applyBorder="1" applyAlignment="1">
      <alignment horizontal="left"/>
    </xf>
    <xf numFmtId="169" fontId="5" fillId="6" borderId="21" xfId="0" applyNumberFormat="1" applyFont="1" applyFill="1" applyBorder="1" applyAlignment="1">
      <alignment horizontal="left"/>
    </xf>
    <xf numFmtId="169" fontId="5" fillId="6" borderId="25" xfId="0" applyNumberFormat="1" applyFont="1" applyFill="1" applyBorder="1" applyAlignment="1">
      <alignment horizontal="left"/>
    </xf>
    <xf numFmtId="169" fontId="5" fillId="6" borderId="25" xfId="5" applyNumberFormat="1" applyFont="1" applyFill="1" applyBorder="1" applyAlignment="1">
      <alignment horizontal="left"/>
    </xf>
    <xf numFmtId="169" fontId="4" fillId="4" borderId="23" xfId="5" applyNumberFormat="1" applyFont="1" applyFill="1" applyBorder="1" applyAlignment="1">
      <alignment horizontal="right" wrapText="1"/>
    </xf>
    <xf numFmtId="170" fontId="5" fillId="6" borderId="23" xfId="5" applyNumberFormat="1" applyFont="1" applyFill="1" applyBorder="1" applyAlignment="1">
      <alignment horizontal="right" wrapText="1"/>
    </xf>
    <xf numFmtId="169" fontId="5" fillId="6" borderId="23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171" fontId="4" fillId="2" borderId="0" xfId="0" applyNumberFormat="1" applyFont="1" applyFill="1"/>
    <xf numFmtId="0" fontId="7" fillId="2" borderId="0" xfId="0" applyFont="1" applyFill="1" applyBorder="1" applyAlignment="1">
      <alignment horizontal="center" vertical="center"/>
    </xf>
    <xf numFmtId="168" fontId="8" fillId="2" borderId="0" xfId="0" applyNumberFormat="1" applyFont="1" applyFill="1" applyBorder="1" applyAlignment="1">
      <alignment horizontal="left" vertical="center" wrapText="1" indent="1"/>
    </xf>
    <xf numFmtId="3" fontId="4" fillId="0" borderId="22" xfId="5" applyNumberFormat="1" applyFont="1" applyFill="1" applyBorder="1" applyAlignment="1">
      <alignment horizontal="right" wrapText="1"/>
    </xf>
    <xf numFmtId="43" fontId="4" fillId="0" borderId="0" xfId="5" applyFont="1"/>
    <xf numFmtId="169" fontId="4" fillId="0" borderId="22" xfId="5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169" fontId="4" fillId="0" borderId="0" xfId="0" applyNumberFormat="1" applyFont="1"/>
    <xf numFmtId="10" fontId="5" fillId="6" borderId="23" xfId="6" applyNumberFormat="1" applyFont="1" applyFill="1" applyBorder="1" applyAlignment="1">
      <alignment horizontal="center" wrapText="1"/>
    </xf>
    <xf numFmtId="169" fontId="4" fillId="2" borderId="15" xfId="5" applyNumberFormat="1" applyFont="1" applyFill="1" applyBorder="1" applyAlignment="1">
      <alignment horizontal="right" wrapText="1"/>
    </xf>
    <xf numFmtId="0" fontId="0" fillId="6" borderId="21" xfId="0" applyFont="1" applyFill="1" applyBorder="1" applyAlignment="1">
      <alignment horizontal="left"/>
    </xf>
    <xf numFmtId="166" fontId="4" fillId="6" borderId="15" xfId="5" applyNumberFormat="1" applyFont="1" applyFill="1" applyBorder="1" applyAlignment="1">
      <alignment horizontal="right"/>
    </xf>
    <xf numFmtId="43" fontId="0" fillId="4" borderId="21" xfId="5" applyFont="1" applyFill="1" applyBorder="1" applyAlignment="1">
      <alignment horizontal="left" wrapText="1"/>
    </xf>
    <xf numFmtId="43" fontId="4" fillId="4" borderId="23" xfId="5" applyFont="1" applyFill="1" applyBorder="1" applyAlignment="1">
      <alignment horizontal="right" wrapText="1"/>
    </xf>
    <xf numFmtId="43" fontId="4" fillId="2" borderId="0" xfId="5" applyFont="1" applyFill="1"/>
    <xf numFmtId="170" fontId="4" fillId="2" borderId="0" xfId="0" applyNumberFormat="1" applyFont="1" applyFill="1"/>
    <xf numFmtId="172" fontId="4" fillId="2" borderId="0" xfId="0" applyNumberFormat="1" applyFont="1" applyFill="1"/>
    <xf numFmtId="0" fontId="8" fillId="2" borderId="0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wrapText="1"/>
    </xf>
    <xf numFmtId="164" fontId="4" fillId="8" borderId="17" xfId="0" applyNumberFormat="1" applyFont="1" applyFill="1" applyBorder="1"/>
    <xf numFmtId="169" fontId="4" fillId="8" borderId="17" xfId="5" applyNumberFormat="1" applyFont="1" applyFill="1" applyBorder="1"/>
    <xf numFmtId="44" fontId="4" fillId="2" borderId="17" xfId="1" applyNumberFormat="1" applyFont="1" applyFill="1" applyBorder="1"/>
    <xf numFmtId="0" fontId="6" fillId="3" borderId="16" xfId="0" applyFont="1" applyFill="1" applyBorder="1" applyAlignment="1">
      <alignment horizontal="center" vertical="center"/>
    </xf>
    <xf numFmtId="0" fontId="4" fillId="2" borderId="17" xfId="1" applyNumberFormat="1" applyFont="1" applyFill="1" applyBorder="1" applyAlignment="1">
      <alignment horizontal="center"/>
    </xf>
    <xf numFmtId="169" fontId="6" fillId="5" borderId="24" xfId="5" applyNumberFormat="1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/>
    </xf>
    <xf numFmtId="170" fontId="5" fillId="6" borderId="25" xfId="5" applyNumberFormat="1" applyFont="1" applyFill="1" applyBorder="1" applyAlignment="1">
      <alignment horizontal="left"/>
    </xf>
    <xf numFmtId="170" fontId="6" fillId="5" borderId="24" xfId="5" applyNumberFormat="1" applyFont="1" applyFill="1" applyBorder="1" applyAlignment="1">
      <alignment horizontal="center" wrapText="1"/>
    </xf>
    <xf numFmtId="170" fontId="4" fillId="6" borderId="23" xfId="5" applyNumberFormat="1" applyFont="1" applyFill="1" applyBorder="1" applyAlignment="1">
      <alignment horizontal="right" wrapText="1"/>
    </xf>
    <xf numFmtId="170" fontId="5" fillId="6" borderId="0" xfId="5" applyNumberFormat="1" applyFont="1" applyFill="1" applyBorder="1" applyAlignment="1">
      <alignment horizontal="right" wrapText="1"/>
    </xf>
    <xf numFmtId="0" fontId="0" fillId="6" borderId="19" xfId="0" applyFont="1" applyFill="1" applyBorder="1" applyAlignment="1">
      <alignment horizontal="left"/>
    </xf>
    <xf numFmtId="170" fontId="4" fillId="6" borderId="19" xfId="5" applyNumberFormat="1" applyFont="1" applyFill="1" applyBorder="1" applyAlignment="1">
      <alignment horizontal="right" wrapText="1"/>
    </xf>
    <xf numFmtId="173" fontId="4" fillId="2" borderId="0" xfId="5" applyNumberFormat="1" applyFont="1" applyFill="1"/>
    <xf numFmtId="0" fontId="5" fillId="2" borderId="18" xfId="0" applyFont="1" applyFill="1" applyBorder="1" applyAlignment="1">
      <alignment horizontal="left"/>
    </xf>
    <xf numFmtId="167" fontId="4" fillId="2" borderId="22" xfId="5" applyNumberFormat="1" applyFont="1" applyFill="1" applyBorder="1" applyAlignment="1">
      <alignment horizontal="right"/>
    </xf>
    <xf numFmtId="10" fontId="5" fillId="6" borderId="15" xfId="6" applyNumberFormat="1" applyFont="1" applyFill="1" applyBorder="1" applyAlignment="1">
      <alignment horizontal="right"/>
    </xf>
    <xf numFmtId="169" fontId="4" fillId="2" borderId="22" xfId="5" applyNumberFormat="1" applyFont="1" applyFill="1" applyBorder="1"/>
    <xf numFmtId="174" fontId="6" fillId="5" borderId="20" xfId="6" applyNumberFormat="1" applyFont="1" applyFill="1" applyBorder="1" applyAlignment="1">
      <alignment horizontal="center" wrapText="1"/>
    </xf>
    <xf numFmtId="174" fontId="4" fillId="2" borderId="17" xfId="6" applyNumberFormat="1" applyFont="1" applyFill="1" applyBorder="1" applyAlignment="1">
      <alignment horizontal="center"/>
    </xf>
    <xf numFmtId="174" fontId="4" fillId="2" borderId="17" xfId="6" applyNumberFormat="1" applyFont="1" applyFill="1" applyBorder="1"/>
    <xf numFmtId="10" fontId="5" fillId="6" borderId="23" xfId="6" applyNumberFormat="1" applyFont="1" applyFill="1" applyBorder="1" applyAlignment="1">
      <alignment horizontal="right"/>
    </xf>
    <xf numFmtId="0" fontId="5" fillId="0" borderId="0" xfId="0" applyFont="1" applyFill="1"/>
    <xf numFmtId="0" fontId="11" fillId="0" borderId="0" xfId="0" applyFont="1" applyAlignment="1">
      <alignment horizontal="center" vertical="center"/>
    </xf>
    <xf numFmtId="176" fontId="4" fillId="2" borderId="0" xfId="6" applyNumberFormat="1" applyFont="1" applyFill="1"/>
    <xf numFmtId="169" fontId="0" fillId="2" borderId="0" xfId="0" applyNumberFormat="1" applyFill="1"/>
    <xf numFmtId="169" fontId="0" fillId="2" borderId="0" xfId="5" applyNumberFormat="1" applyFont="1" applyFill="1"/>
    <xf numFmtId="43" fontId="0" fillId="2" borderId="0" xfId="0" applyNumberFormat="1" applyFill="1"/>
    <xf numFmtId="174" fontId="4" fillId="0" borderId="22" xfId="0" applyNumberFormat="1" applyFont="1" applyBorder="1"/>
    <xf numFmtId="176" fontId="0" fillId="2" borderId="0" xfId="0" applyNumberFormat="1" applyFill="1"/>
    <xf numFmtId="169" fontId="4" fillId="2" borderId="0" xfId="5" applyNumberFormat="1" applyFont="1" applyFill="1" applyBorder="1"/>
    <xf numFmtId="0" fontId="0" fillId="2" borderId="0" xfId="0" applyFill="1" applyBorder="1"/>
    <xf numFmtId="44" fontId="4" fillId="0" borderId="17" xfId="1" applyNumberFormat="1" applyFont="1" applyFill="1" applyBorder="1"/>
    <xf numFmtId="177" fontId="4" fillId="4" borderId="20" xfId="6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/>
    <xf numFmtId="0" fontId="5" fillId="2" borderId="1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4" fillId="2" borderId="0" xfId="0" applyNumberFormat="1" applyFont="1" applyFill="1"/>
    <xf numFmtId="166" fontId="4" fillId="2" borderId="0" xfId="0" applyNumberFormat="1" applyFont="1" applyFill="1" applyBorder="1"/>
    <xf numFmtId="174" fontId="4" fillId="6" borderId="20" xfId="6" applyNumberFormat="1" applyFont="1" applyFill="1" applyBorder="1" applyAlignment="1">
      <alignment horizontal="center"/>
    </xf>
    <xf numFmtId="174" fontId="4" fillId="4" borderId="20" xfId="6" applyNumberFormat="1" applyFont="1" applyFill="1" applyBorder="1" applyAlignment="1">
      <alignment horizontal="center" wrapText="1"/>
    </xf>
    <xf numFmtId="177" fontId="4" fillId="4" borderId="20" xfId="6" applyNumberFormat="1" applyFont="1" applyFill="1" applyBorder="1" applyAlignment="1">
      <alignment horizontal="center"/>
    </xf>
    <xf numFmtId="177" fontId="5" fillId="6" borderId="20" xfId="6" applyNumberFormat="1" applyFont="1" applyFill="1" applyBorder="1" applyAlignment="1">
      <alignment horizontal="center"/>
    </xf>
    <xf numFmtId="177" fontId="4" fillId="2" borderId="20" xfId="6" applyNumberFormat="1" applyFont="1" applyFill="1" applyBorder="1" applyAlignment="1">
      <alignment horizontal="center" wrapText="1"/>
    </xf>
    <xf numFmtId="177" fontId="4" fillId="2" borderId="20" xfId="6" applyNumberFormat="1" applyFont="1" applyFill="1" applyBorder="1" applyAlignment="1">
      <alignment horizontal="center"/>
    </xf>
    <xf numFmtId="177" fontId="6" fillId="5" borderId="20" xfId="6" applyNumberFormat="1" applyFont="1" applyFill="1" applyBorder="1" applyAlignment="1">
      <alignment horizontal="center" wrapText="1"/>
    </xf>
    <xf numFmtId="0" fontId="0" fillId="0" borderId="0" xfId="0" applyFill="1"/>
    <xf numFmtId="0" fontId="12" fillId="2" borderId="0" xfId="0" applyFont="1" applyFill="1" applyAlignment="1">
      <alignment horizontal="left" vertical="center" indent="1"/>
    </xf>
    <xf numFmtId="44" fontId="12" fillId="2" borderId="0" xfId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8" fontId="13" fillId="2" borderId="0" xfId="0" applyNumberFormat="1" applyFont="1" applyFill="1" applyAlignment="1">
      <alignment horizontal="right" vertical="center"/>
    </xf>
    <xf numFmtId="10" fontId="13" fillId="2" borderId="0" xfId="6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6" fillId="3" borderId="18" xfId="0" quotePrefix="1" applyFont="1" applyFill="1" applyBorder="1" applyAlignment="1">
      <alignment horizontal="center" vertical="center"/>
    </xf>
    <xf numFmtId="3" fontId="4" fillId="0" borderId="22" xfId="5" applyNumberFormat="1" applyFont="1" applyBorder="1"/>
    <xf numFmtId="167" fontId="4" fillId="0" borderId="22" xfId="5" applyNumberFormat="1" applyFont="1" applyBorder="1"/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0" xfId="0" applyFill="1"/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 wrapText="1"/>
    </xf>
  </cellXfs>
  <cellStyles count="9">
    <cellStyle name="INPUT" xfId="7" xr:uid="{4E764902-46D0-4AD2-A337-4E8F5F1994DB}"/>
    <cellStyle name="Moeda" xfId="1" builtinId="4"/>
    <cellStyle name="Normal" xfId="0" builtinId="0" customBuiltin="1"/>
    <cellStyle name="Normal 2" xfId="2" xr:uid="{0A1FEE7F-2E83-4643-8505-471AB226A8D9}"/>
    <cellStyle name="Normal 2 2" xfId="3" xr:uid="{084E61E5-D789-4162-BABF-BDB9EF2D552D}"/>
    <cellStyle name="Porcentagem" xfId="6" builtinId="5"/>
    <cellStyle name="Vírgula" xfId="5" builtinId="3"/>
    <cellStyle name="Vírgula 2" xfId="4" xr:uid="{906264EC-748E-4A04-B0C7-FA82C5150509}"/>
    <cellStyle name="Vírgula 3 2" xfId="8" xr:uid="{C00EFCFE-9557-4120-A1A2-535D5D3D9314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'R-TarifaRTP-2021'!$A$4</c:f>
              <c:strCache>
                <c:ptCount val="1"/>
                <c:pt idx="0">
                  <c:v>Componente da Tarifa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1C-401E-A3BC-CAB5B6FFBE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1C-401E-A3BC-CAB5B6FFBE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1C-401E-A3BC-CAB5B6FFBE1C}"/>
              </c:ext>
            </c:extLst>
          </c:dPt>
          <c:dLbls>
            <c:dLbl>
              <c:idx val="2"/>
              <c:layout>
                <c:manualLayout>
                  <c:x val="0"/>
                  <c:y val="2.192133038655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1C-401E-A3BC-CAB5B6FFBE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'R-TarifaRTP-2021'!$A$5:$A$7</c:f>
              <c:strCache>
                <c:ptCount val="3"/>
                <c:pt idx="0">
                  <c:v>Tarifa Parcela B (TB)</c:v>
                </c:pt>
                <c:pt idx="1">
                  <c:v>Tarifa Parcela A (TA)</c:v>
                </c:pt>
                <c:pt idx="2">
                  <c:v>Compensações</c:v>
                </c:pt>
              </c:strCache>
            </c:strRef>
          </c:cat>
          <c:val>
            <c:numRef>
              <c:f>'R-TarifaRTP-2021'!$E$5:$E$7</c:f>
              <c:numCache>
                <c:formatCode>0.0000%</c:formatCode>
                <c:ptCount val="3"/>
                <c:pt idx="0">
                  <c:v>-7.6030572713649991E-2</c:v>
                </c:pt>
                <c:pt idx="1">
                  <c:v>-2.4142974265390693E-2</c:v>
                </c:pt>
                <c:pt idx="2">
                  <c:v>7.4290660104551876E-2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74-47A2-B739-2CAAD99F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2827872"/>
        <c:axId val="732830784"/>
      </c:barChart>
      <c:catAx>
        <c:axId val="7328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2830784"/>
        <c:crosses val="autoZero"/>
        <c:auto val="1"/>
        <c:lblAlgn val="ctr"/>
        <c:lblOffset val="100"/>
        <c:noMultiLvlLbl val="0"/>
      </c:catAx>
      <c:valAx>
        <c:axId val="7328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282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da Tarifa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08F-4B3C-95BB-B692E3A853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8F-4B3C-95BB-B692E3A853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08F-4B3C-95BB-B692E3A853F9}"/>
              </c:ext>
            </c:extLst>
          </c:dPt>
          <c:dLbls>
            <c:dLbl>
              <c:idx val="0"/>
              <c:layout>
                <c:manualLayout>
                  <c:x val="-6.0605935023672286E-2"/>
                  <c:y val="-0.23326267307097284"/>
                </c:manualLayout>
              </c:layout>
              <c:tx>
                <c:rich>
                  <a:bodyPr/>
                  <a:lstStyle/>
                  <a:p>
                    <a:fld id="{9FF178D5-4727-423B-86B6-6BE7AE73A5B0}" type="CATEGORYNAME">
                      <a:rPr lang="en-US"/>
                      <a:pPr/>
                      <a:t>[NOME DA CATEGORIA]</a:t>
                    </a:fld>
                    <a:r>
                      <a:rPr lang="en-US" b="1" baseline="0"/>
                      <a:t>; </a:t>
                    </a:r>
                    <a:fld id="{E4FBE161-435D-4D45-BEAF-600B0F866FD7}" type="VALUE">
                      <a:rPr lang="en-US" b="1" baseline="0"/>
                      <a:pPr/>
                      <a:t>[VALOR]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88995215311003"/>
                      <c:h val="0.181595682693716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08F-4B3C-95BB-B692E3A853F9}"/>
                </c:ext>
              </c:extLst>
            </c:dLbl>
            <c:dLbl>
              <c:idx val="1"/>
              <c:layout>
                <c:manualLayout>
                  <c:x val="-3.2862901706664643E-2"/>
                  <c:y val="0.1135544971741853"/>
                </c:manualLayout>
              </c:layout>
              <c:tx>
                <c:rich>
                  <a:bodyPr/>
                  <a:lstStyle/>
                  <a:p>
                    <a:fld id="{C44359DE-3A7D-45B1-80E7-8CC55D5DE69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DD4FBC0D-0745-4384-A3B7-7ADF0AF4D63B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8F-4B3C-95BB-B692E3A853F9}"/>
                </c:ext>
              </c:extLst>
            </c:dLbl>
            <c:dLbl>
              <c:idx val="2"/>
              <c:layout>
                <c:manualLayout>
                  <c:x val="4.4027176028833687E-2"/>
                  <c:y val="1.5670372855020154E-2"/>
                </c:manualLayout>
              </c:layout>
              <c:tx>
                <c:rich>
                  <a:bodyPr/>
                  <a:lstStyle/>
                  <a:p>
                    <a:fld id="{5447FF54-8880-41BA-B3C5-95DD19F1BF4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0972BC2F-B3E3-43BB-9DAE-BB9B5DEA2CD8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74003189792659"/>
                      <c:h val="0.126410772452904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8F-4B3C-95BB-B692E3A85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('R-TarifaRTP-2021'!$A$15,'R-TarifaRTP-2021'!$A$22,'R-TarifaRTP-2021'!$A$25)</c:f>
              <c:strCache>
                <c:ptCount val="3"/>
                <c:pt idx="0">
                  <c:v>Tarifa P0 Água+Esgoto (TB)</c:v>
                </c:pt>
                <c:pt idx="1">
                  <c:v>Tarifa Parcela A (TA)</c:v>
                </c:pt>
                <c:pt idx="2">
                  <c:v>Compensações</c:v>
                </c:pt>
              </c:strCache>
            </c:strRef>
          </c:cat>
          <c:val>
            <c:numRef>
              <c:f>('R-TarifaRTP-2021'!$C$15,'R-TarifaRTP-2021'!$C$22,'R-TarifaRTP-2021'!$C$25)</c:f>
              <c:numCache>
                <c:formatCode>0.0%</c:formatCode>
                <c:ptCount val="3"/>
                <c:pt idx="0">
                  <c:v>0.77947831455863181</c:v>
                </c:pt>
                <c:pt idx="1">
                  <c:v>0.14425524693104033</c:v>
                </c:pt>
                <c:pt idx="2">
                  <c:v>7.6263806697772524E-2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B3C-95BB-B692E3A8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407334</xdr:colOff>
      <xdr:row>40</xdr:row>
      <xdr:rowOff>47065</xdr:rowOff>
    </xdr:from>
    <xdr:to>
      <xdr:col>1</xdr:col>
      <xdr:colOff>114860</xdr:colOff>
      <xdr:row>41</xdr:row>
      <xdr:rowOff>123265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407334" y="8641977"/>
          <a:ext cx="1466850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I-Dados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461963</xdr:colOff>
      <xdr:row>38</xdr:row>
      <xdr:rowOff>168275</xdr:rowOff>
    </xdr:from>
    <xdr:to>
      <xdr:col>2</xdr:col>
      <xdr:colOff>1938338</xdr:colOff>
      <xdr:row>40</xdr:row>
      <xdr:rowOff>44450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700588" y="5826125"/>
          <a:ext cx="1476375" cy="295275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A-Tarifa-P0</a:t>
          </a:r>
        </a:p>
      </xdr:txBody>
    </xdr:sp>
    <xdr:clientData/>
  </xdr:twoCellAnchor>
  <xdr:twoCellAnchor>
    <xdr:from>
      <xdr:col>2</xdr:col>
      <xdr:colOff>461963</xdr:colOff>
      <xdr:row>41</xdr:row>
      <xdr:rowOff>137246</xdr:rowOff>
    </xdr:from>
    <xdr:to>
      <xdr:col>2</xdr:col>
      <xdr:colOff>1938338</xdr:colOff>
      <xdr:row>42</xdr:row>
      <xdr:rowOff>196128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BAD4A2C-98D1-4AC4-934C-261433B72B8C}"/>
            </a:ext>
          </a:extLst>
        </xdr:cNvPr>
        <xdr:cNvSpPr/>
      </xdr:nvSpPr>
      <xdr:spPr>
        <a:xfrm>
          <a:off x="4700588" y="6423746"/>
          <a:ext cx="1476375" cy="268432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A-Fator-X</a:t>
          </a:r>
        </a:p>
      </xdr:txBody>
    </xdr:sp>
    <xdr:clientData/>
  </xdr:twoCellAnchor>
  <xdr:twoCellAnchor>
    <xdr:from>
      <xdr:col>4</xdr:col>
      <xdr:colOff>28575</xdr:colOff>
      <xdr:row>40</xdr:row>
      <xdr:rowOff>36982</xdr:rowOff>
    </xdr:from>
    <xdr:to>
      <xdr:col>5</xdr:col>
      <xdr:colOff>0</xdr:colOff>
      <xdr:row>41</xdr:row>
      <xdr:rowOff>103657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368428" y="8631894"/>
          <a:ext cx="1540248" cy="2571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R-TarifaRTP-2021</a:t>
          </a:r>
        </a:p>
      </xdr:txBody>
    </xdr:sp>
    <xdr:clientData/>
  </xdr:twoCellAnchor>
  <xdr:twoCellAnchor>
    <xdr:from>
      <xdr:col>1</xdr:col>
      <xdr:colOff>114860</xdr:colOff>
      <xdr:row>39</xdr:row>
      <xdr:rowOff>106363</xdr:rowOff>
    </xdr:from>
    <xdr:to>
      <xdr:col>2</xdr:col>
      <xdr:colOff>461963</xdr:colOff>
      <xdr:row>40</xdr:row>
      <xdr:rowOff>180415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4" idx="3"/>
          <a:endCxn id="10" idx="1"/>
        </xdr:cNvCxnSpPr>
      </xdr:nvCxnSpPr>
      <xdr:spPr>
        <a:xfrm flipV="1">
          <a:off x="1874184" y="8510775"/>
          <a:ext cx="2296926" cy="26455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39</xdr:row>
      <xdr:rowOff>106363</xdr:rowOff>
    </xdr:from>
    <xdr:to>
      <xdr:col>4</xdr:col>
      <xdr:colOff>28575</xdr:colOff>
      <xdr:row>40</xdr:row>
      <xdr:rowOff>165570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>
          <a:off x="5647485" y="8510775"/>
          <a:ext cx="1720943" cy="24970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40</xdr:row>
      <xdr:rowOff>165570</xdr:rowOff>
    </xdr:from>
    <xdr:to>
      <xdr:col>4</xdr:col>
      <xdr:colOff>28575</xdr:colOff>
      <xdr:row>42</xdr:row>
      <xdr:rowOff>66675</xdr:rowOff>
    </xdr:to>
    <xdr:cxnSp macro="">
      <xdr:nvCxnSpPr>
        <xdr:cNvPr id="56" name="Conector: Angulado 55">
          <a:extLst>
            <a:ext uri="{FF2B5EF4-FFF2-40B4-BE49-F238E27FC236}">
              <a16:creationId xmlns:a16="http://schemas.microsoft.com/office/drawing/2014/main" id="{7960BAEB-8100-4A4B-A035-682E921471DF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5647485" y="8760482"/>
          <a:ext cx="1720943" cy="28210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22413</xdr:colOff>
      <xdr:row>0</xdr:row>
      <xdr:rowOff>156884</xdr:rowOff>
    </xdr:from>
    <xdr:to>
      <xdr:col>1</xdr:col>
      <xdr:colOff>60567</xdr:colOff>
      <xdr:row>4</xdr:row>
      <xdr:rowOff>19731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A763CC52-CECF-4132-A11D-090FAFE08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6884"/>
          <a:ext cx="1797478" cy="624847"/>
        </a:xfrm>
        <a:prstGeom prst="rect">
          <a:avLst/>
        </a:prstGeom>
      </xdr:spPr>
    </xdr:pic>
    <xdr:clientData/>
  </xdr:twoCellAnchor>
  <xdr:twoCellAnchor>
    <xdr:from>
      <xdr:col>1</xdr:col>
      <xdr:colOff>114860</xdr:colOff>
      <xdr:row>40</xdr:row>
      <xdr:rowOff>180415</xdr:rowOff>
    </xdr:from>
    <xdr:to>
      <xdr:col>2</xdr:col>
      <xdr:colOff>461963</xdr:colOff>
      <xdr:row>42</xdr:row>
      <xdr:rowOff>66675</xdr:rowOff>
    </xdr:to>
    <xdr:cxnSp macro="">
      <xdr:nvCxnSpPr>
        <xdr:cNvPr id="22" name="Conector: Angulado 21">
          <a:extLst>
            <a:ext uri="{FF2B5EF4-FFF2-40B4-BE49-F238E27FC236}">
              <a16:creationId xmlns:a16="http://schemas.microsoft.com/office/drawing/2014/main" id="{7145A060-2F80-4AD1-A631-549A5B175560}"/>
            </a:ext>
          </a:extLst>
        </xdr:cNvPr>
        <xdr:cNvCxnSpPr>
          <a:stCxn id="4" idx="3"/>
          <a:endCxn id="11" idx="1"/>
        </xdr:cNvCxnSpPr>
      </xdr:nvCxnSpPr>
      <xdr:spPr>
        <a:xfrm>
          <a:off x="1874184" y="8775327"/>
          <a:ext cx="2296926" cy="26726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1200151</xdr:colOff>
      <xdr:row>40</xdr:row>
      <xdr:rowOff>44450</xdr:rowOff>
    </xdr:from>
    <xdr:to>
      <xdr:col>2</xdr:col>
      <xdr:colOff>1200151</xdr:colOff>
      <xdr:row>41</xdr:row>
      <xdr:rowOff>137246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E226D8E9-38FA-4182-8DFB-B3D5A2E76BA4}"/>
            </a:ext>
          </a:extLst>
        </xdr:cNvPr>
        <xdr:cNvCxnSpPr>
          <a:stCxn id="10" idx="2"/>
          <a:endCxn id="11" idx="0"/>
        </xdr:cNvCxnSpPr>
      </xdr:nvCxnSpPr>
      <xdr:spPr>
        <a:xfrm>
          <a:off x="4909298" y="7686862"/>
          <a:ext cx="0" cy="2832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2</xdr:row>
      <xdr:rowOff>17928</xdr:rowOff>
    </xdr:from>
    <xdr:to>
      <xdr:col>12</xdr:col>
      <xdr:colOff>142875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5DB68F-D594-47C2-8840-1BB7E76AA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851647</xdr:colOff>
      <xdr:row>18</xdr:row>
      <xdr:rowOff>33616</xdr:rowOff>
    </xdr:from>
    <xdr:to>
      <xdr:col>12</xdr:col>
      <xdr:colOff>317127</xdr:colOff>
      <xdr:row>31</xdr:row>
      <xdr:rowOff>74797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0FDDD3-B3F3-4B6D-A712-9E063C0B3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3-Trabalhos/2-Modelo%20Financeiro/Planilhas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I5">
            <v>3.8776207413002468</v>
          </cell>
          <cell r="P5">
            <v>3.9399176981078075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10E1-A2E6-4185-A35A-72AAF2AB5D8B}">
  <dimension ref="A6:E47"/>
  <sheetViews>
    <sheetView tabSelected="1" zoomScale="85" zoomScaleNormal="85" workbookViewId="0">
      <selection activeCell="A49" sqref="A49"/>
    </sheetView>
  </sheetViews>
  <sheetFormatPr defaultRowHeight="15" x14ac:dyDescent="0.25"/>
  <cols>
    <col min="1" max="1" width="26.42578125" style="4" customWidth="1"/>
    <col min="2" max="2" width="29.28515625" style="4" customWidth="1"/>
    <col min="3" max="3" width="30.28515625" style="4" customWidth="1"/>
    <col min="4" max="4" width="24.140625" style="4" customWidth="1"/>
    <col min="5" max="5" width="29.7109375" style="4" customWidth="1"/>
    <col min="6" max="16384" width="9.140625" style="4"/>
  </cols>
  <sheetData>
    <row r="6" spans="1:5" x14ac:dyDescent="0.25">
      <c r="A6" s="3" t="s">
        <v>7</v>
      </c>
    </row>
    <row r="7" spans="1:5" x14ac:dyDescent="0.25">
      <c r="A7" s="183" t="s">
        <v>29</v>
      </c>
      <c r="B7" s="184"/>
      <c r="C7" s="184"/>
      <c r="D7" s="184"/>
      <c r="E7" s="185"/>
    </row>
    <row r="8" spans="1:5" x14ac:dyDescent="0.25">
      <c r="A8" s="186"/>
      <c r="B8" s="187"/>
      <c r="C8" s="187"/>
      <c r="D8" s="187"/>
      <c r="E8" s="188"/>
    </row>
    <row r="9" spans="1:5" x14ac:dyDescent="0.25">
      <c r="A9" s="186"/>
      <c r="B9" s="187"/>
      <c r="C9" s="187"/>
      <c r="D9" s="187"/>
      <c r="E9" s="188"/>
    </row>
    <row r="10" spans="1:5" x14ac:dyDescent="0.25">
      <c r="A10" s="186"/>
      <c r="B10" s="187"/>
      <c r="C10" s="187"/>
      <c r="D10" s="187"/>
      <c r="E10" s="188"/>
    </row>
    <row r="11" spans="1:5" x14ac:dyDescent="0.25">
      <c r="A11" s="186"/>
      <c r="B11" s="187"/>
      <c r="C11" s="187"/>
      <c r="D11" s="187"/>
      <c r="E11" s="188"/>
    </row>
    <row r="12" spans="1:5" x14ac:dyDescent="0.25">
      <c r="A12" s="186"/>
      <c r="B12" s="187"/>
      <c r="C12" s="187"/>
      <c r="D12" s="187"/>
      <c r="E12" s="188"/>
    </row>
    <row r="13" spans="1:5" x14ac:dyDescent="0.25">
      <c r="A13" s="186"/>
      <c r="B13" s="187"/>
      <c r="C13" s="187"/>
      <c r="D13" s="187"/>
      <c r="E13" s="188"/>
    </row>
    <row r="14" spans="1:5" x14ac:dyDescent="0.25">
      <c r="A14" s="186"/>
      <c r="B14" s="187"/>
      <c r="C14" s="187"/>
      <c r="D14" s="187"/>
      <c r="E14" s="188"/>
    </row>
    <row r="15" spans="1:5" x14ac:dyDescent="0.25">
      <c r="A15" s="186"/>
      <c r="B15" s="187"/>
      <c r="C15" s="187"/>
      <c r="D15" s="187"/>
      <c r="E15" s="188"/>
    </row>
    <row r="16" spans="1:5" x14ac:dyDescent="0.25">
      <c r="A16" s="186"/>
      <c r="B16" s="187"/>
      <c r="C16" s="187"/>
      <c r="D16" s="187"/>
      <c r="E16" s="188"/>
    </row>
    <row r="17" spans="1:5" x14ac:dyDescent="0.25">
      <c r="A17" s="186"/>
      <c r="B17" s="187"/>
      <c r="C17" s="187"/>
      <c r="D17" s="187"/>
      <c r="E17" s="188"/>
    </row>
    <row r="18" spans="1:5" x14ac:dyDescent="0.25">
      <c r="A18" s="189"/>
      <c r="B18" s="190"/>
      <c r="C18" s="190"/>
      <c r="D18" s="190"/>
      <c r="E18" s="191"/>
    </row>
    <row r="20" spans="1:5" x14ac:dyDescent="0.25">
      <c r="A20" s="3" t="s">
        <v>8</v>
      </c>
    </row>
    <row r="21" spans="1:5" x14ac:dyDescent="0.25">
      <c r="A21" s="192" t="s">
        <v>2</v>
      </c>
      <c r="B21" s="193"/>
      <c r="C21" s="193"/>
      <c r="D21" s="193"/>
      <c r="E21" s="194"/>
    </row>
    <row r="22" spans="1:5" x14ac:dyDescent="0.25">
      <c r="A22" s="5"/>
      <c r="B22" s="6"/>
      <c r="C22" s="6"/>
      <c r="D22" s="6"/>
      <c r="E22" s="7"/>
    </row>
    <row r="23" spans="1:5" ht="16.5" customHeight="1" x14ac:dyDescent="0.25">
      <c r="A23" s="186" t="s">
        <v>3</v>
      </c>
      <c r="B23" s="187"/>
      <c r="C23" s="187"/>
      <c r="D23" s="187"/>
      <c r="E23" s="188"/>
    </row>
    <row r="24" spans="1:5" x14ac:dyDescent="0.25">
      <c r="A24" s="186"/>
      <c r="B24" s="187"/>
      <c r="C24" s="187"/>
      <c r="D24" s="187"/>
      <c r="E24" s="188"/>
    </row>
    <row r="25" spans="1:5" x14ac:dyDescent="0.25">
      <c r="A25" s="8"/>
      <c r="B25" s="9"/>
      <c r="C25" s="9"/>
      <c r="D25" s="9"/>
      <c r="E25" s="10"/>
    </row>
    <row r="26" spans="1:5" x14ac:dyDescent="0.25">
      <c r="A26" s="195" t="s">
        <v>0</v>
      </c>
      <c r="B26" s="181"/>
      <c r="C26" s="181"/>
      <c r="D26" s="181"/>
      <c r="E26" s="182"/>
    </row>
    <row r="28" spans="1:5" x14ac:dyDescent="0.25">
      <c r="A28" s="3" t="s">
        <v>9</v>
      </c>
    </row>
    <row r="29" spans="1:5" x14ac:dyDescent="0.25">
      <c r="A29" s="11" t="s">
        <v>1</v>
      </c>
      <c r="B29" s="177" t="s">
        <v>10</v>
      </c>
      <c r="C29" s="178"/>
      <c r="D29" s="178"/>
      <c r="E29" s="179"/>
    </row>
    <row r="30" spans="1:5" x14ac:dyDescent="0.25">
      <c r="A30" s="27" t="s">
        <v>20</v>
      </c>
      <c r="B30" s="174" t="s">
        <v>24</v>
      </c>
      <c r="C30" s="175"/>
      <c r="D30" s="175"/>
      <c r="E30" s="176"/>
    </row>
    <row r="31" spans="1:5" x14ac:dyDescent="0.25">
      <c r="A31" s="27" t="s">
        <v>21</v>
      </c>
      <c r="B31" s="174" t="s">
        <v>25</v>
      </c>
      <c r="C31" s="175"/>
      <c r="D31" s="175"/>
      <c r="E31" s="176"/>
    </row>
    <row r="32" spans="1:5" x14ac:dyDescent="0.25">
      <c r="A32" s="27" t="s">
        <v>22</v>
      </c>
      <c r="B32" s="174" t="s">
        <v>26</v>
      </c>
      <c r="C32" s="175"/>
      <c r="D32" s="175"/>
      <c r="E32" s="176"/>
    </row>
    <row r="33" spans="1:5" x14ac:dyDescent="0.25">
      <c r="A33" s="28" t="s">
        <v>23</v>
      </c>
      <c r="B33" s="180" t="s">
        <v>27</v>
      </c>
      <c r="C33" s="181"/>
      <c r="D33" s="181"/>
      <c r="E33" s="182"/>
    </row>
    <row r="35" spans="1:5" x14ac:dyDescent="0.25">
      <c r="A35" s="3" t="s">
        <v>11</v>
      </c>
    </row>
    <row r="36" spans="1:5" x14ac:dyDescent="0.25">
      <c r="A36" s="12"/>
      <c r="B36" s="13"/>
      <c r="C36" s="13"/>
      <c r="D36" s="13"/>
      <c r="E36" s="14"/>
    </row>
    <row r="37" spans="1:5" x14ac:dyDescent="0.25">
      <c r="A37" s="15" t="s">
        <v>4</v>
      </c>
      <c r="B37" s="16"/>
      <c r="C37" s="17" t="s">
        <v>5</v>
      </c>
      <c r="D37" s="16"/>
      <c r="E37" s="18" t="s">
        <v>6</v>
      </c>
    </row>
    <row r="38" spans="1:5" x14ac:dyDescent="0.25">
      <c r="A38" s="19"/>
      <c r="B38" s="16"/>
      <c r="C38" s="16"/>
      <c r="D38" s="16"/>
      <c r="E38" s="20"/>
    </row>
    <row r="39" spans="1:5" x14ac:dyDescent="0.25">
      <c r="A39" s="19"/>
      <c r="B39" s="16"/>
      <c r="C39" s="16"/>
      <c r="D39" s="16"/>
      <c r="E39" s="21"/>
    </row>
    <row r="40" spans="1:5" x14ac:dyDescent="0.25">
      <c r="A40" s="19"/>
      <c r="B40" s="16"/>
      <c r="C40" s="16"/>
      <c r="D40" s="16"/>
      <c r="E40" s="21"/>
    </row>
    <row r="41" spans="1:5" x14ac:dyDescent="0.25">
      <c r="A41" s="19"/>
      <c r="B41" s="16"/>
      <c r="C41" s="16"/>
      <c r="D41" s="16"/>
      <c r="E41" s="20"/>
    </row>
    <row r="42" spans="1:5" x14ac:dyDescent="0.25">
      <c r="A42" s="19"/>
      <c r="B42" s="16"/>
      <c r="C42" s="16"/>
      <c r="D42" s="16"/>
      <c r="E42" s="21"/>
    </row>
    <row r="43" spans="1:5" x14ac:dyDescent="0.25">
      <c r="A43" s="19"/>
      <c r="B43" s="16"/>
      <c r="C43" s="16"/>
      <c r="D43" s="16"/>
      <c r="E43" s="21"/>
    </row>
    <row r="44" spans="1:5" x14ac:dyDescent="0.25">
      <c r="A44" s="19"/>
      <c r="B44" s="16"/>
      <c r="C44" s="16"/>
      <c r="D44" s="16"/>
      <c r="E44" s="21"/>
    </row>
    <row r="45" spans="1:5" x14ac:dyDescent="0.25">
      <c r="A45" s="19"/>
      <c r="B45" s="16"/>
      <c r="C45" s="16"/>
      <c r="D45" s="16"/>
      <c r="E45" s="21"/>
    </row>
    <row r="46" spans="1:5" x14ac:dyDescent="0.25">
      <c r="A46" s="19"/>
      <c r="B46" s="16"/>
      <c r="C46" s="16"/>
      <c r="D46" s="16"/>
      <c r="E46" s="21"/>
    </row>
    <row r="47" spans="1:5" x14ac:dyDescent="0.25">
      <c r="A47" s="22"/>
      <c r="B47" s="23"/>
      <c r="C47" s="23"/>
      <c r="D47" s="23"/>
      <c r="E47" s="24"/>
    </row>
  </sheetData>
  <mergeCells count="9">
    <mergeCell ref="B32:E32"/>
    <mergeCell ref="B29:E29"/>
    <mergeCell ref="B33:E33"/>
    <mergeCell ref="B31:E31"/>
    <mergeCell ref="A7:E18"/>
    <mergeCell ref="A21:E21"/>
    <mergeCell ref="A26:E26"/>
    <mergeCell ref="A23:E24"/>
    <mergeCell ref="B30:E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C1B5-0F06-43A4-9C13-BD360A074967}">
  <dimension ref="A1:L200"/>
  <sheetViews>
    <sheetView zoomScaleNormal="100" workbookViewId="0">
      <selection activeCell="C2" sqref="C2"/>
    </sheetView>
  </sheetViews>
  <sheetFormatPr defaultColWidth="0" defaultRowHeight="15" zeroHeight="1" x14ac:dyDescent="0.25"/>
  <cols>
    <col min="1" max="1" width="52.28515625" style="4" customWidth="1"/>
    <col min="2" max="2" width="23.140625" style="4" customWidth="1"/>
    <col min="3" max="3" width="20" style="4" bestFit="1" customWidth="1"/>
    <col min="4" max="4" width="17.42578125" style="4" customWidth="1"/>
    <col min="5" max="5" width="22.28515625" style="4" customWidth="1"/>
    <col min="6" max="6" width="17.140625" style="4" bestFit="1" customWidth="1"/>
    <col min="7" max="7" width="14.28515625" style="4" bestFit="1" customWidth="1"/>
    <col min="8" max="8" width="12.5703125" style="4" customWidth="1"/>
    <col min="9" max="12" width="9.140625" style="4" customWidth="1"/>
    <col min="13" max="16384" width="9.140625" style="2" hidden="1"/>
  </cols>
  <sheetData>
    <row r="1" spans="1:7" x14ac:dyDescent="0.25">
      <c r="A1" s="138" t="s">
        <v>93</v>
      </c>
    </row>
    <row r="2" spans="1:7" x14ac:dyDescent="0.25">
      <c r="A2" s="25" t="s">
        <v>116</v>
      </c>
      <c r="B2" s="25">
        <v>2019</v>
      </c>
      <c r="C2" s="25">
        <v>2020</v>
      </c>
      <c r="D2" s="25">
        <v>2021</v>
      </c>
      <c r="E2" s="25">
        <v>2022</v>
      </c>
      <c r="F2" s="25">
        <v>2023</v>
      </c>
      <c r="G2" s="25">
        <v>2024</v>
      </c>
    </row>
    <row r="3" spans="1:7" x14ac:dyDescent="0.25">
      <c r="A3" s="26" t="s">
        <v>94</v>
      </c>
      <c r="B3" s="71">
        <v>528467304</v>
      </c>
      <c r="C3" s="71">
        <v>522526070.07150805</v>
      </c>
      <c r="D3" s="71">
        <v>527393716</v>
      </c>
      <c r="E3" s="71">
        <v>548051202</v>
      </c>
      <c r="F3" s="71">
        <v>553474720</v>
      </c>
      <c r="G3" s="71">
        <v>561193853</v>
      </c>
    </row>
    <row r="4" spans="1:7" x14ac:dyDescent="0.25">
      <c r="A4" s="26" t="s">
        <v>95</v>
      </c>
      <c r="B4" s="71">
        <v>399225232</v>
      </c>
      <c r="C4" s="71">
        <v>398026149.74468303</v>
      </c>
      <c r="D4" s="71">
        <v>406011301</v>
      </c>
      <c r="E4" s="71">
        <v>428454418</v>
      </c>
      <c r="F4" s="71">
        <v>440306067</v>
      </c>
      <c r="G4" s="71">
        <v>450329703</v>
      </c>
    </row>
    <row r="5" spans="1:7" x14ac:dyDescent="0.25">
      <c r="A5" s="55" t="s">
        <v>96</v>
      </c>
      <c r="B5" s="72">
        <f>SUM(B3:B4)</f>
        <v>927692536</v>
      </c>
      <c r="C5" s="72">
        <f>SUM(C3:C4)</f>
        <v>920552219.81619108</v>
      </c>
      <c r="D5" s="72">
        <f>SUM(D3:D4)</f>
        <v>933405017</v>
      </c>
      <c r="E5" s="72">
        <f t="shared" ref="E5:G5" si="0">SUM(E3:E4)</f>
        <v>976505620</v>
      </c>
      <c r="F5" s="72">
        <f t="shared" si="0"/>
        <v>993780787</v>
      </c>
      <c r="G5" s="72">
        <f t="shared" si="0"/>
        <v>1011523556</v>
      </c>
    </row>
    <row r="6" spans="1:7" x14ac:dyDescent="0.25">
      <c r="A6" s="26" t="s">
        <v>97</v>
      </c>
      <c r="B6" s="71">
        <v>3194532</v>
      </c>
      <c r="C6" s="71">
        <v>3269088</v>
      </c>
      <c r="D6" s="71">
        <v>3321588</v>
      </c>
      <c r="E6" s="71">
        <v>3372690</v>
      </c>
      <c r="F6" s="71">
        <v>3423218</v>
      </c>
      <c r="G6" s="71">
        <v>3474152</v>
      </c>
    </row>
    <row r="7" spans="1:7" x14ac:dyDescent="0.25">
      <c r="A7" s="26" t="s">
        <v>98</v>
      </c>
      <c r="B7" s="71">
        <v>2231127</v>
      </c>
      <c r="C7" s="71">
        <v>2298841</v>
      </c>
      <c r="D7" s="71">
        <v>2361986</v>
      </c>
      <c r="E7" s="71">
        <v>2438098</v>
      </c>
      <c r="F7" s="71">
        <v>2535311</v>
      </c>
      <c r="G7" s="71">
        <v>2629834</v>
      </c>
    </row>
    <row r="8" spans="1:7" x14ac:dyDescent="0.25">
      <c r="A8" s="55" t="s">
        <v>99</v>
      </c>
      <c r="B8" s="72">
        <f>SUM(B6:B7)</f>
        <v>5425659</v>
      </c>
      <c r="C8" s="72">
        <f>SUM(C6:C7)</f>
        <v>5567929</v>
      </c>
      <c r="D8" s="72">
        <f t="shared" ref="D8" si="1">SUM(D6:D7)</f>
        <v>5683574</v>
      </c>
      <c r="E8" s="72">
        <f t="shared" ref="E8" si="2">SUM(E6:E7)</f>
        <v>5810788</v>
      </c>
      <c r="F8" s="72">
        <f t="shared" ref="F8" si="3">SUM(F6:F7)</f>
        <v>5958529</v>
      </c>
      <c r="G8" s="72">
        <f t="shared" ref="G8" si="4">SUM(G6:G7)</f>
        <v>6103986</v>
      </c>
    </row>
    <row r="9" spans="1:7" x14ac:dyDescent="0.25">
      <c r="A9" s="138" t="s">
        <v>236</v>
      </c>
    </row>
    <row r="10" spans="1:7" x14ac:dyDescent="0.25">
      <c r="A10" s="3"/>
    </row>
    <row r="11" spans="1:7" x14ac:dyDescent="0.25"/>
    <row r="12" spans="1:7" x14ac:dyDescent="0.25">
      <c r="A12" s="138" t="s">
        <v>100</v>
      </c>
    </row>
    <row r="13" spans="1:7" x14ac:dyDescent="0.25">
      <c r="A13" s="25" t="s">
        <v>116</v>
      </c>
      <c r="B13" s="25">
        <v>2019</v>
      </c>
      <c r="C13" s="95"/>
      <c r="E13" s="95"/>
      <c r="F13" s="95"/>
    </row>
    <row r="14" spans="1:7" x14ac:dyDescent="0.25">
      <c r="A14" s="26" t="s">
        <v>101</v>
      </c>
      <c r="B14" s="71">
        <v>692621649</v>
      </c>
      <c r="C14" s="95"/>
      <c r="E14" s="95"/>
      <c r="F14" s="95"/>
    </row>
    <row r="15" spans="1:7" x14ac:dyDescent="0.25">
      <c r="A15" s="26" t="s">
        <v>102</v>
      </c>
      <c r="B15" s="71">
        <v>380280626</v>
      </c>
      <c r="C15" s="95"/>
      <c r="D15" s="95"/>
      <c r="E15" s="95"/>
      <c r="F15" s="95"/>
    </row>
    <row r="16" spans="1:7" x14ac:dyDescent="0.25">
      <c r="A16" s="26" t="s">
        <v>103</v>
      </c>
      <c r="B16" s="71">
        <v>44063144</v>
      </c>
      <c r="C16" s="95"/>
      <c r="D16" s="95"/>
      <c r="E16" s="95"/>
      <c r="F16" s="95"/>
    </row>
    <row r="17" spans="1:6" x14ac:dyDescent="0.25">
      <c r="A17" s="26" t="s">
        <v>104</v>
      </c>
      <c r="B17" s="71">
        <v>24930766</v>
      </c>
      <c r="C17" s="95"/>
      <c r="D17" s="95"/>
      <c r="E17" s="95"/>
      <c r="F17" s="95"/>
    </row>
    <row r="18" spans="1:6" x14ac:dyDescent="0.25">
      <c r="A18" s="26" t="s">
        <v>105</v>
      </c>
      <c r="B18" s="71">
        <v>316012380</v>
      </c>
      <c r="C18" s="95"/>
      <c r="D18" s="95"/>
      <c r="E18" s="95"/>
      <c r="F18" s="95"/>
    </row>
    <row r="19" spans="1:6" x14ac:dyDescent="0.25">
      <c r="A19" s="26" t="s">
        <v>106</v>
      </c>
      <c r="B19" s="71">
        <v>201876558</v>
      </c>
      <c r="C19" s="95"/>
      <c r="D19" s="95"/>
      <c r="E19" s="95"/>
      <c r="F19" s="95"/>
    </row>
    <row r="20" spans="1:6" x14ac:dyDescent="0.25">
      <c r="A20" s="26" t="s">
        <v>107</v>
      </c>
      <c r="B20" s="71">
        <v>34323181</v>
      </c>
      <c r="C20" s="95"/>
      <c r="D20" s="95"/>
      <c r="E20" s="95"/>
      <c r="F20" s="95"/>
    </row>
    <row r="21" spans="1:6" x14ac:dyDescent="0.25">
      <c r="A21" s="26" t="s">
        <v>108</v>
      </c>
      <c r="B21" s="71">
        <v>23103042</v>
      </c>
      <c r="C21" s="95"/>
      <c r="D21" s="95"/>
      <c r="E21" s="95"/>
      <c r="F21" s="95"/>
    </row>
    <row r="22" spans="1:6" x14ac:dyDescent="0.25">
      <c r="A22" s="55" t="s">
        <v>109</v>
      </c>
      <c r="B22" s="72">
        <f>SUM(B14:B21)</f>
        <v>1717211346</v>
      </c>
      <c r="C22" s="95"/>
      <c r="D22" s="95"/>
      <c r="E22" s="95"/>
      <c r="F22" s="95"/>
    </row>
    <row r="23" spans="1:6" x14ac:dyDescent="0.25">
      <c r="A23" s="26" t="s">
        <v>110</v>
      </c>
      <c r="B23" s="71">
        <v>520618885</v>
      </c>
      <c r="C23" s="95"/>
      <c r="D23" s="95"/>
      <c r="E23" s="95"/>
      <c r="F23" s="95"/>
    </row>
    <row r="24" spans="1:6" x14ac:dyDescent="0.25">
      <c r="A24" s="26" t="s">
        <v>111</v>
      </c>
      <c r="B24" s="71">
        <v>301824460</v>
      </c>
      <c r="C24" s="95"/>
      <c r="D24" s="95"/>
      <c r="E24" s="95"/>
      <c r="F24" s="95"/>
    </row>
    <row r="25" spans="1:6" x14ac:dyDescent="0.25">
      <c r="A25" s="26" t="s">
        <v>112</v>
      </c>
      <c r="B25" s="71">
        <v>118204182</v>
      </c>
      <c r="C25" s="95"/>
      <c r="D25" s="95"/>
      <c r="E25" s="95"/>
      <c r="F25" s="95"/>
    </row>
    <row r="26" spans="1:6" x14ac:dyDescent="0.25">
      <c r="A26" s="26" t="s">
        <v>113</v>
      </c>
      <c r="B26" s="71">
        <v>68527890</v>
      </c>
      <c r="C26" s="95"/>
      <c r="D26" s="95"/>
      <c r="E26" s="95"/>
      <c r="F26" s="95"/>
    </row>
    <row r="27" spans="1:6" x14ac:dyDescent="0.25">
      <c r="A27" s="26" t="s">
        <v>114</v>
      </c>
      <c r="B27" s="71">
        <v>448197287</v>
      </c>
      <c r="C27" s="95"/>
      <c r="D27" s="95"/>
      <c r="E27" s="95"/>
      <c r="F27" s="95"/>
    </row>
    <row r="28" spans="1:6" x14ac:dyDescent="0.25">
      <c r="A28" s="26" t="s">
        <v>115</v>
      </c>
      <c r="B28" s="71">
        <v>259838642</v>
      </c>
      <c r="C28" s="95"/>
      <c r="D28" s="95"/>
      <c r="E28" s="95"/>
      <c r="F28" s="95"/>
    </row>
    <row r="29" spans="1:6" x14ac:dyDescent="0.25">
      <c r="A29" s="55" t="s">
        <v>109</v>
      </c>
      <c r="B29" s="72">
        <f>SUM(B23:B28)</f>
        <v>1717211346</v>
      </c>
      <c r="C29" s="95"/>
      <c r="D29" s="95"/>
      <c r="E29" s="95"/>
      <c r="F29" s="95"/>
    </row>
    <row r="30" spans="1:6" x14ac:dyDescent="0.25">
      <c r="A30" s="3" t="s">
        <v>225</v>
      </c>
      <c r="C30" s="95"/>
      <c r="D30" s="95"/>
      <c r="E30" s="95"/>
      <c r="F30" s="95"/>
    </row>
    <row r="31" spans="1:6" x14ac:dyDescent="0.25">
      <c r="A31" s="3"/>
      <c r="C31" s="95"/>
      <c r="D31" s="95"/>
      <c r="E31" s="95"/>
      <c r="F31" s="95"/>
    </row>
    <row r="32" spans="1:6" x14ac:dyDescent="0.25"/>
    <row r="33" spans="1:6" x14ac:dyDescent="0.25">
      <c r="A33" s="138" t="s">
        <v>173</v>
      </c>
    </row>
    <row r="34" spans="1:6" x14ac:dyDescent="0.25">
      <c r="A34" s="25" t="s">
        <v>117</v>
      </c>
      <c r="B34" s="25">
        <v>2019</v>
      </c>
      <c r="C34" s="95"/>
      <c r="D34" s="95"/>
      <c r="E34" s="95"/>
      <c r="F34" s="95"/>
    </row>
    <row r="35" spans="1:6" x14ac:dyDescent="0.25">
      <c r="A35" s="26" t="s">
        <v>232</v>
      </c>
      <c r="B35" s="71">
        <v>473703707.31999993</v>
      </c>
      <c r="C35" s="95"/>
      <c r="D35" s="95"/>
      <c r="E35" s="95"/>
      <c r="F35" s="95"/>
    </row>
    <row r="36" spans="1:6" x14ac:dyDescent="0.25">
      <c r="A36" s="26" t="s">
        <v>233</v>
      </c>
      <c r="B36" s="71">
        <v>119895943.26000002</v>
      </c>
      <c r="C36" s="95"/>
      <c r="D36" s="95"/>
      <c r="E36" s="95"/>
      <c r="F36" s="95"/>
    </row>
    <row r="37" spans="1:6" x14ac:dyDescent="0.25">
      <c r="A37" s="26" t="s">
        <v>234</v>
      </c>
      <c r="B37" s="71">
        <v>119497627.98999999</v>
      </c>
      <c r="C37" s="95"/>
      <c r="D37" s="95"/>
      <c r="E37" s="95"/>
      <c r="F37" s="95"/>
    </row>
    <row r="38" spans="1:6" x14ac:dyDescent="0.25">
      <c r="A38" s="55" t="s">
        <v>235</v>
      </c>
      <c r="B38" s="72">
        <f>SUM(B35:B37)</f>
        <v>713097278.56999993</v>
      </c>
      <c r="C38" s="95"/>
      <c r="D38" s="95"/>
      <c r="E38" s="95"/>
      <c r="F38" s="95"/>
    </row>
    <row r="39" spans="1:6" x14ac:dyDescent="0.25">
      <c r="A39" s="73" t="s">
        <v>237</v>
      </c>
      <c r="B39" s="74">
        <f>433489263.47/509071485.51</f>
        <v>0.85152925631990584</v>
      </c>
      <c r="C39" s="95"/>
      <c r="D39" s="139">
        <v>433489263.47107297</v>
      </c>
      <c r="E39" s="95"/>
      <c r="F39" s="95"/>
    </row>
    <row r="40" spans="1:6" x14ac:dyDescent="0.25">
      <c r="A40" s="73" t="s">
        <v>238</v>
      </c>
      <c r="B40" s="74">
        <f>1-B39</f>
        <v>0.14847074368009416</v>
      </c>
      <c r="C40" s="95"/>
      <c r="D40" s="95"/>
      <c r="E40" s="95"/>
      <c r="F40" s="95"/>
    </row>
    <row r="41" spans="1:6" x14ac:dyDescent="0.25">
      <c r="A41" s="26" t="s">
        <v>118</v>
      </c>
      <c r="B41" s="71">
        <f>B37*B39</f>
        <v>101755726.29431745</v>
      </c>
      <c r="C41" s="95"/>
      <c r="D41" s="95"/>
      <c r="E41" s="95"/>
      <c r="F41" s="95"/>
    </row>
    <row r="42" spans="1:6" x14ac:dyDescent="0.25">
      <c r="A42" s="26" t="s">
        <v>119</v>
      </c>
      <c r="B42" s="71">
        <f>B35*B39</f>
        <v>403372565.61018187</v>
      </c>
      <c r="C42" s="95"/>
      <c r="D42" s="95"/>
      <c r="E42" s="95"/>
      <c r="F42" s="95"/>
    </row>
    <row r="43" spans="1:6" x14ac:dyDescent="0.25">
      <c r="A43" s="26" t="s">
        <v>120</v>
      </c>
      <c r="B43" s="71">
        <f>B36*B39</f>
        <v>102094903.39996144</v>
      </c>
      <c r="C43" s="95"/>
      <c r="D43" s="95"/>
      <c r="E43" s="95"/>
      <c r="F43" s="95"/>
    </row>
    <row r="44" spans="1:6" x14ac:dyDescent="0.25">
      <c r="A44" s="26" t="s">
        <v>121</v>
      </c>
      <c r="B44" s="71">
        <f>B37*B40</f>
        <v>17741901.695682537</v>
      </c>
      <c r="C44" s="95"/>
      <c r="D44" s="95"/>
      <c r="E44" s="95"/>
      <c r="F44" s="95"/>
    </row>
    <row r="45" spans="1:6" x14ac:dyDescent="0.25">
      <c r="A45" s="26" t="s">
        <v>122</v>
      </c>
      <c r="B45" s="71">
        <f>B35*B40</f>
        <v>70331141.70981805</v>
      </c>
      <c r="C45" s="95"/>
      <c r="D45" s="95"/>
      <c r="E45" s="95"/>
      <c r="F45" s="95"/>
    </row>
    <row r="46" spans="1:6" x14ac:dyDescent="0.25">
      <c r="A46" s="26" t="s">
        <v>123</v>
      </c>
      <c r="B46" s="71">
        <f>B36*B40</f>
        <v>17801039.860038575</v>
      </c>
      <c r="C46" s="95"/>
      <c r="D46" s="95"/>
      <c r="E46" s="95"/>
      <c r="F46" s="95"/>
    </row>
    <row r="47" spans="1:6" x14ac:dyDescent="0.25">
      <c r="A47" s="55" t="s">
        <v>124</v>
      </c>
      <c r="B47" s="72">
        <f>SUM(B41:B46)</f>
        <v>713097278.56999981</v>
      </c>
      <c r="C47" s="95"/>
      <c r="D47" s="95"/>
      <c r="E47" s="95"/>
      <c r="F47" s="95"/>
    </row>
    <row r="48" spans="1:6" x14ac:dyDescent="0.25">
      <c r="A48" s="3" t="s">
        <v>239</v>
      </c>
    </row>
    <row r="49" spans="1:6" x14ac:dyDescent="0.25">
      <c r="A49" s="94"/>
    </row>
    <row r="50" spans="1:6" x14ac:dyDescent="0.25"/>
    <row r="51" spans="1:6" x14ac:dyDescent="0.25">
      <c r="A51" s="138" t="s">
        <v>240</v>
      </c>
    </row>
    <row r="52" spans="1:6" x14ac:dyDescent="0.25">
      <c r="A52" s="25" t="s">
        <v>125</v>
      </c>
      <c r="B52" s="25">
        <v>2019</v>
      </c>
      <c r="C52" s="95"/>
      <c r="D52" s="95"/>
      <c r="E52" s="95"/>
      <c r="F52" s="95"/>
    </row>
    <row r="53" spans="1:6" x14ac:dyDescent="0.25">
      <c r="A53" s="73" t="s">
        <v>126</v>
      </c>
      <c r="B53" s="71">
        <v>94965596.409712851</v>
      </c>
      <c r="C53" s="95"/>
      <c r="D53" s="95"/>
      <c r="E53" s="141"/>
      <c r="F53" s="95"/>
    </row>
    <row r="54" spans="1:6" x14ac:dyDescent="0.25">
      <c r="A54" s="26" t="s">
        <v>127</v>
      </c>
      <c r="B54" s="71">
        <v>34020731.385291696</v>
      </c>
      <c r="C54" s="95"/>
      <c r="D54" s="95"/>
      <c r="E54" s="141"/>
      <c r="F54" s="95"/>
    </row>
    <row r="55" spans="1:6" x14ac:dyDescent="0.25">
      <c r="A55" s="73" t="s">
        <v>128</v>
      </c>
      <c r="B55" s="71">
        <v>15194661.904852001</v>
      </c>
      <c r="C55" s="142"/>
      <c r="D55" s="143"/>
      <c r="E55" s="141"/>
      <c r="F55" s="141"/>
    </row>
    <row r="56" spans="1:6" x14ac:dyDescent="0.25">
      <c r="A56" s="73" t="s">
        <v>129</v>
      </c>
      <c r="B56" s="71">
        <v>0</v>
      </c>
      <c r="C56" s="142"/>
      <c r="D56" s="143"/>
      <c r="E56" s="141"/>
      <c r="F56" s="141"/>
    </row>
    <row r="57" spans="1:6" x14ac:dyDescent="0.25">
      <c r="A57" s="73" t="s">
        <v>228</v>
      </c>
      <c r="B57" s="71">
        <v>19104876.04361568</v>
      </c>
      <c r="C57" s="141"/>
      <c r="D57" s="143"/>
      <c r="E57" s="141"/>
      <c r="F57" s="95"/>
    </row>
    <row r="58" spans="1:6" x14ac:dyDescent="0.25">
      <c r="A58" s="73" t="s">
        <v>130</v>
      </c>
      <c r="B58" s="71">
        <v>43969.156405482943</v>
      </c>
      <c r="C58" s="95"/>
      <c r="D58" s="95"/>
      <c r="E58" s="95"/>
      <c r="F58" s="95"/>
    </row>
    <row r="59" spans="1:6" x14ac:dyDescent="0.25">
      <c r="A59" s="73" t="s">
        <v>131</v>
      </c>
      <c r="B59" s="71">
        <v>5240334.7034070212</v>
      </c>
      <c r="C59" s="95"/>
      <c r="D59" s="95"/>
      <c r="E59" s="95"/>
      <c r="F59" s="95"/>
    </row>
    <row r="60" spans="1:6" x14ac:dyDescent="0.25">
      <c r="A60" s="55" t="s">
        <v>132</v>
      </c>
      <c r="B60" s="72">
        <f>SUM(B53:B59)</f>
        <v>168570169.60328472</v>
      </c>
      <c r="C60" s="95"/>
      <c r="D60" s="95"/>
      <c r="E60" s="95"/>
      <c r="F60" s="95"/>
    </row>
    <row r="61" spans="1:6" x14ac:dyDescent="0.25">
      <c r="A61" s="3" t="s">
        <v>241</v>
      </c>
    </row>
    <row r="62" spans="1:6" x14ac:dyDescent="0.25">
      <c r="A62" s="3"/>
    </row>
    <row r="63" spans="1:6" x14ac:dyDescent="0.25"/>
    <row r="64" spans="1:6" x14ac:dyDescent="0.25">
      <c r="A64" s="138" t="s">
        <v>174</v>
      </c>
    </row>
    <row r="65" spans="1:6" x14ac:dyDescent="0.25">
      <c r="A65" s="25" t="s">
        <v>175</v>
      </c>
      <c r="B65" s="25" t="s">
        <v>250</v>
      </c>
      <c r="C65" s="25">
        <v>2021</v>
      </c>
      <c r="D65" s="25">
        <v>2022</v>
      </c>
      <c r="E65" s="25">
        <v>2023</v>
      </c>
      <c r="F65" s="25">
        <v>2024</v>
      </c>
    </row>
    <row r="66" spans="1:6" x14ac:dyDescent="0.25">
      <c r="A66" s="26" t="s">
        <v>133</v>
      </c>
      <c r="B66" s="71">
        <f>307630560*(1+B158)</f>
        <v>351350615.26747197</v>
      </c>
      <c r="C66" s="71">
        <v>614792000</v>
      </c>
      <c r="D66" s="71">
        <v>570040000</v>
      </c>
      <c r="E66" s="71">
        <v>517477000</v>
      </c>
      <c r="F66" s="71">
        <v>609678000</v>
      </c>
    </row>
    <row r="67" spans="1:6" x14ac:dyDescent="0.25">
      <c r="A67" s="26" t="s">
        <v>134</v>
      </c>
      <c r="B67" s="71">
        <f>210587530*(1+B158)</f>
        <v>240515955.99981099</v>
      </c>
      <c r="C67" s="71">
        <v>580150000</v>
      </c>
      <c r="D67" s="71">
        <v>731440000</v>
      </c>
      <c r="E67" s="71">
        <v>871385000</v>
      </c>
      <c r="F67" s="71">
        <v>860964000</v>
      </c>
    </row>
    <row r="68" spans="1:6" x14ac:dyDescent="0.25">
      <c r="A68" s="26" t="s">
        <v>135</v>
      </c>
      <c r="B68" s="71">
        <f>64435073.5451632*(1+B158)</f>
        <v>73592502.431806177</v>
      </c>
      <c r="C68" s="71">
        <v>0</v>
      </c>
      <c r="D68" s="71">
        <v>0</v>
      </c>
      <c r="E68" s="71">
        <v>0</v>
      </c>
      <c r="F68" s="71">
        <v>0</v>
      </c>
    </row>
    <row r="69" spans="1:6" x14ac:dyDescent="0.25">
      <c r="A69" s="26" t="s">
        <v>136</v>
      </c>
      <c r="B69" s="71">
        <f>44108826.4548368*(1+B158)</f>
        <v>50377515.529123813</v>
      </c>
      <c r="C69" s="71">
        <v>0</v>
      </c>
      <c r="D69" s="71">
        <v>0</v>
      </c>
      <c r="E69" s="71">
        <v>0</v>
      </c>
      <c r="F69" s="71">
        <v>0</v>
      </c>
    </row>
    <row r="70" spans="1:6" x14ac:dyDescent="0.25">
      <c r="A70" s="116" t="s">
        <v>206</v>
      </c>
      <c r="B70" s="117">
        <f>SUM(B68:B69)</f>
        <v>123970017.96092999</v>
      </c>
      <c r="C70" s="117">
        <f t="shared" ref="C70:F70" si="5">SUM(C68:C69)</f>
        <v>0</v>
      </c>
      <c r="D70" s="117">
        <f t="shared" si="5"/>
        <v>0</v>
      </c>
      <c r="E70" s="117">
        <f t="shared" si="5"/>
        <v>0</v>
      </c>
      <c r="F70" s="117">
        <f t="shared" si="5"/>
        <v>0</v>
      </c>
    </row>
    <row r="71" spans="1:6" x14ac:dyDescent="0.25">
      <c r="A71" s="55" t="s">
        <v>137</v>
      </c>
      <c r="B71" s="72">
        <f>SUM(B66:B69)</f>
        <v>715836589.22821295</v>
      </c>
      <c r="C71" s="72">
        <f>SUM(C66:C67,C70)</f>
        <v>1194942000</v>
      </c>
      <c r="D71" s="72">
        <f t="shared" ref="D71:F71" si="6">SUM(D66:D67,D70)</f>
        <v>1301480000</v>
      </c>
      <c r="E71" s="72">
        <f t="shared" si="6"/>
        <v>1388862000</v>
      </c>
      <c r="F71" s="72">
        <f t="shared" si="6"/>
        <v>1470642000</v>
      </c>
    </row>
    <row r="72" spans="1:6" x14ac:dyDescent="0.25">
      <c r="A72" s="3" t="s">
        <v>251</v>
      </c>
    </row>
    <row r="73" spans="1:6" x14ac:dyDescent="0.25"/>
    <row r="74" spans="1:6" x14ac:dyDescent="0.25"/>
    <row r="75" spans="1:6" x14ac:dyDescent="0.25">
      <c r="A75" s="138" t="s">
        <v>176</v>
      </c>
    </row>
    <row r="76" spans="1:6" x14ac:dyDescent="0.25">
      <c r="A76" s="25" t="s">
        <v>138</v>
      </c>
      <c r="B76" s="25" t="s">
        <v>205</v>
      </c>
      <c r="C76" s="95"/>
      <c r="D76" s="95"/>
      <c r="E76" s="95"/>
      <c r="F76" s="95"/>
    </row>
    <row r="77" spans="1:6" x14ac:dyDescent="0.25">
      <c r="A77" s="26" t="s">
        <v>139</v>
      </c>
      <c r="B77" s="135">
        <v>7.2172E-2</v>
      </c>
      <c r="C77" s="95"/>
      <c r="D77" s="95"/>
      <c r="E77" s="95"/>
      <c r="F77" s="95"/>
    </row>
    <row r="78" spans="1:6" x14ac:dyDescent="0.25">
      <c r="A78" s="26" t="s">
        <v>140</v>
      </c>
      <c r="B78" s="135">
        <f>B77/(1-B86)</f>
        <v>0.10935151515151514</v>
      </c>
      <c r="C78" s="145"/>
      <c r="D78" s="95"/>
      <c r="E78" s="95"/>
      <c r="F78" s="95"/>
    </row>
    <row r="79" spans="1:6" x14ac:dyDescent="0.25">
      <c r="A79" s="3" t="s">
        <v>226</v>
      </c>
    </row>
    <row r="80" spans="1:6" x14ac:dyDescent="0.25">
      <c r="A80" s="3"/>
    </row>
    <row r="81" spans="1:6" x14ac:dyDescent="0.25"/>
    <row r="82" spans="1:6" x14ac:dyDescent="0.25">
      <c r="A82" s="3" t="s">
        <v>177</v>
      </c>
    </row>
    <row r="83" spans="1:6" x14ac:dyDescent="0.25">
      <c r="A83" s="25" t="s">
        <v>178</v>
      </c>
      <c r="B83" s="25" t="s">
        <v>70</v>
      </c>
      <c r="C83" s="95"/>
      <c r="D83" s="95"/>
      <c r="E83" s="95"/>
      <c r="F83" s="95"/>
    </row>
    <row r="84" spans="1:6" x14ac:dyDescent="0.25">
      <c r="A84" s="26" t="s">
        <v>244</v>
      </c>
      <c r="B84" s="74">
        <v>0.25</v>
      </c>
      <c r="C84" s="95"/>
      <c r="D84" s="95"/>
      <c r="E84" s="95"/>
      <c r="F84" s="95"/>
    </row>
    <row r="85" spans="1:6" x14ac:dyDescent="0.25">
      <c r="A85" s="26" t="s">
        <v>245</v>
      </c>
      <c r="B85" s="74">
        <v>0.09</v>
      </c>
      <c r="C85" s="95"/>
      <c r="D85" s="95"/>
      <c r="E85" s="95"/>
      <c r="F85" s="95"/>
    </row>
    <row r="86" spans="1:6" x14ac:dyDescent="0.25">
      <c r="A86" s="26" t="s">
        <v>243</v>
      </c>
      <c r="B86" s="74">
        <f>B85+B84</f>
        <v>0.33999999999999997</v>
      </c>
      <c r="C86" s="95"/>
      <c r="D86" s="95"/>
      <c r="E86" s="95"/>
      <c r="F86" s="95"/>
    </row>
    <row r="87" spans="1:6" x14ac:dyDescent="0.25">
      <c r="A87" s="26" t="s">
        <v>141</v>
      </c>
      <c r="B87" s="136">
        <v>7.0258000000000001E-2</v>
      </c>
      <c r="C87" s="95"/>
      <c r="D87" s="95"/>
      <c r="E87" s="95"/>
      <c r="F87" s="95"/>
    </row>
    <row r="88" spans="1:6" x14ac:dyDescent="0.25">
      <c r="A88" s="3" t="s">
        <v>242</v>
      </c>
    </row>
    <row r="89" spans="1:6" x14ac:dyDescent="0.25"/>
    <row r="90" spans="1:6" x14ac:dyDescent="0.25"/>
    <row r="91" spans="1:6" x14ac:dyDescent="0.25">
      <c r="A91" s="3" t="s">
        <v>204</v>
      </c>
    </row>
    <row r="92" spans="1:6" x14ac:dyDescent="0.25">
      <c r="A92" s="25" t="s">
        <v>46</v>
      </c>
      <c r="B92" s="25" t="s">
        <v>70</v>
      </c>
      <c r="C92" s="95"/>
      <c r="D92" s="95"/>
      <c r="E92" s="95"/>
      <c r="F92" s="95"/>
    </row>
    <row r="93" spans="1:6" x14ac:dyDescent="0.25">
      <c r="A93" s="26" t="s">
        <v>142</v>
      </c>
      <c r="B93" s="74">
        <v>5.3E-3</v>
      </c>
      <c r="C93" s="95"/>
      <c r="D93" s="95"/>
      <c r="E93" s="95"/>
      <c r="F93" s="95"/>
    </row>
    <row r="94" spans="1:6" x14ac:dyDescent="0.25">
      <c r="A94" s="26" t="s">
        <v>143</v>
      </c>
      <c r="B94" s="74">
        <v>5.3E-3</v>
      </c>
      <c r="C94" s="95"/>
      <c r="D94" s="95"/>
      <c r="E94" s="95"/>
      <c r="F94" s="95"/>
    </row>
    <row r="95" spans="1:6" x14ac:dyDescent="0.25">
      <c r="A95" s="55" t="s">
        <v>144</v>
      </c>
      <c r="B95" s="137">
        <f>B93</f>
        <v>5.3E-3</v>
      </c>
      <c r="C95" s="95"/>
      <c r="D95" s="95"/>
      <c r="E95" s="95"/>
      <c r="F95" s="95"/>
    </row>
    <row r="96" spans="1:6" x14ac:dyDescent="0.25">
      <c r="A96" s="3" t="s">
        <v>227</v>
      </c>
    </row>
    <row r="97" spans="1:6" x14ac:dyDescent="0.25"/>
    <row r="98" spans="1:6" x14ac:dyDescent="0.25"/>
    <row r="99" spans="1:6" x14ac:dyDescent="0.25">
      <c r="A99" s="138" t="s">
        <v>180</v>
      </c>
    </row>
    <row r="100" spans="1:6" x14ac:dyDescent="0.25">
      <c r="A100" s="25" t="s">
        <v>179</v>
      </c>
      <c r="B100" s="25" t="s">
        <v>70</v>
      </c>
      <c r="C100" s="95"/>
      <c r="D100" s="95"/>
      <c r="E100" s="95"/>
      <c r="F100" s="95"/>
    </row>
    <row r="101" spans="1:6" x14ac:dyDescent="0.25">
      <c r="A101" s="26" t="s">
        <v>145</v>
      </c>
      <c r="B101" s="71">
        <v>11580985745.529999</v>
      </c>
      <c r="C101" s="163"/>
      <c r="D101" s="95"/>
      <c r="E101" s="95"/>
      <c r="F101" s="95"/>
    </row>
    <row r="102" spans="1:6" x14ac:dyDescent="0.25">
      <c r="A102" s="26" t="s">
        <v>146</v>
      </c>
      <c r="B102" s="71">
        <v>438606380.51999998</v>
      </c>
      <c r="C102" s="95"/>
      <c r="D102" s="95"/>
      <c r="E102" s="95"/>
      <c r="F102" s="95"/>
    </row>
    <row r="103" spans="1:6" x14ac:dyDescent="0.25">
      <c r="A103" s="26" t="s">
        <v>149</v>
      </c>
      <c r="B103" s="71">
        <v>1016870063.84</v>
      </c>
      <c r="C103" s="95"/>
      <c r="D103" s="95"/>
      <c r="E103" s="95"/>
      <c r="F103" s="95"/>
    </row>
    <row r="104" spans="1:6" x14ac:dyDescent="0.25">
      <c r="A104" s="26" t="s">
        <v>151</v>
      </c>
      <c r="B104" s="71">
        <v>1012939.78</v>
      </c>
      <c r="C104" s="95"/>
      <c r="D104" s="95"/>
      <c r="E104" s="95"/>
      <c r="F104" s="95"/>
    </row>
    <row r="105" spans="1:6" x14ac:dyDescent="0.25">
      <c r="A105" s="55" t="s">
        <v>191</v>
      </c>
      <c r="B105" s="72">
        <f>SUM(B101:B104)</f>
        <v>13037475129.67</v>
      </c>
      <c r="C105" s="95"/>
      <c r="F105" s="95"/>
    </row>
    <row r="106" spans="1:6" x14ac:dyDescent="0.25">
      <c r="A106" s="26" t="s">
        <v>147</v>
      </c>
      <c r="B106" s="71">
        <v>9274724913.5600014</v>
      </c>
      <c r="C106" s="163"/>
      <c r="F106" s="95"/>
    </row>
    <row r="107" spans="1:6" x14ac:dyDescent="0.25">
      <c r="A107" s="26" t="s">
        <v>148</v>
      </c>
      <c r="B107" s="71">
        <v>327082336.79000002</v>
      </c>
      <c r="C107" s="95"/>
      <c r="F107" s="95"/>
    </row>
    <row r="108" spans="1:6" x14ac:dyDescent="0.25">
      <c r="A108" s="26" t="s">
        <v>150</v>
      </c>
      <c r="B108" s="71">
        <v>354256556.5</v>
      </c>
      <c r="C108" s="95"/>
      <c r="F108" s="95"/>
    </row>
    <row r="109" spans="1:6" x14ac:dyDescent="0.25">
      <c r="A109" s="26" t="s">
        <v>152</v>
      </c>
      <c r="B109" s="71">
        <v>329.92</v>
      </c>
      <c r="C109" s="95"/>
      <c r="F109" s="95"/>
    </row>
    <row r="110" spans="1:6" x14ac:dyDescent="0.25">
      <c r="A110" s="55" t="s">
        <v>192</v>
      </c>
      <c r="B110" s="72">
        <f>SUM(B106:B109)</f>
        <v>9956064136.7700024</v>
      </c>
      <c r="C110" s="95"/>
      <c r="F110" s="95"/>
    </row>
    <row r="111" spans="1:6" x14ac:dyDescent="0.25">
      <c r="A111" s="26" t="s">
        <v>258</v>
      </c>
      <c r="B111" s="71">
        <v>218376765.53</v>
      </c>
      <c r="C111" s="95"/>
      <c r="F111" s="95"/>
    </row>
    <row r="112" spans="1:6" x14ac:dyDescent="0.25">
      <c r="A112" s="26" t="s">
        <v>259</v>
      </c>
      <c r="B112" s="71">
        <v>6579586.6100000003</v>
      </c>
      <c r="C112" s="95"/>
      <c r="F112" s="95"/>
    </row>
    <row r="113" spans="1:6" x14ac:dyDescent="0.25">
      <c r="A113" s="26" t="s">
        <v>260</v>
      </c>
      <c r="B113" s="71">
        <v>48509596.810000002</v>
      </c>
      <c r="C113" s="95"/>
      <c r="F113" s="95"/>
    </row>
    <row r="114" spans="1:6" x14ac:dyDescent="0.25">
      <c r="A114" s="26" t="s">
        <v>261</v>
      </c>
      <c r="B114" s="71">
        <v>18697569</v>
      </c>
      <c r="C114" s="95"/>
      <c r="F114" s="95"/>
    </row>
    <row r="115" spans="1:6" x14ac:dyDescent="0.25">
      <c r="A115" s="55" t="s">
        <v>264</v>
      </c>
      <c r="B115" s="72">
        <f>SUM(B111:B114)</f>
        <v>292163517.95000005</v>
      </c>
      <c r="C115" s="95"/>
      <c r="F115" s="95"/>
    </row>
    <row r="116" spans="1:6" x14ac:dyDescent="0.25">
      <c r="A116" s="55" t="s">
        <v>153</v>
      </c>
      <c r="B116" s="72">
        <f>B110+B105+B115</f>
        <v>23285702784.390003</v>
      </c>
      <c r="C116" s="95"/>
      <c r="D116" s="164"/>
      <c r="E116" s="165"/>
      <c r="F116" s="95"/>
    </row>
    <row r="117" spans="1:6" x14ac:dyDescent="0.25">
      <c r="A117" s="73" t="s">
        <v>186</v>
      </c>
      <c r="B117" s="71">
        <v>94969527.669472203</v>
      </c>
      <c r="C117" s="95"/>
      <c r="D117" s="164"/>
      <c r="E117" s="165"/>
      <c r="F117" s="95"/>
    </row>
    <row r="118" spans="1:6" x14ac:dyDescent="0.25">
      <c r="A118" s="73" t="s">
        <v>187</v>
      </c>
      <c r="B118" s="71">
        <v>23798246.228888899</v>
      </c>
      <c r="C118" s="95"/>
      <c r="D118" s="164"/>
      <c r="E118" s="165"/>
      <c r="F118" s="95"/>
    </row>
    <row r="119" spans="1:6" x14ac:dyDescent="0.25">
      <c r="A119" s="55" t="s">
        <v>193</v>
      </c>
      <c r="B119" s="72">
        <f>SUM(B117:B118)</f>
        <v>118767773.8983611</v>
      </c>
      <c r="C119" s="95"/>
      <c r="D119" s="164"/>
      <c r="E119" s="165"/>
      <c r="F119" s="95"/>
    </row>
    <row r="120" spans="1:6" x14ac:dyDescent="0.25">
      <c r="A120" s="26" t="s">
        <v>154</v>
      </c>
      <c r="B120" s="71">
        <v>5835100636.6999998</v>
      </c>
      <c r="C120" s="95"/>
      <c r="D120" s="164"/>
      <c r="E120" s="165"/>
      <c r="F120" s="95"/>
    </row>
    <row r="121" spans="1:6" x14ac:dyDescent="0.25">
      <c r="A121" s="26" t="s">
        <v>155</v>
      </c>
      <c r="B121" s="71">
        <v>3391975015.8800001</v>
      </c>
      <c r="C121" s="95"/>
      <c r="D121" s="95"/>
      <c r="E121" s="95"/>
      <c r="F121" s="95"/>
    </row>
    <row r="122" spans="1:6" x14ac:dyDescent="0.25">
      <c r="A122" s="26" t="s">
        <v>265</v>
      </c>
      <c r="B122" s="71">
        <v>111128416.29000001</v>
      </c>
      <c r="C122" s="95"/>
      <c r="D122" s="95"/>
      <c r="E122" s="95"/>
      <c r="F122" s="95"/>
    </row>
    <row r="123" spans="1:6" x14ac:dyDescent="0.25">
      <c r="A123" s="55" t="s">
        <v>156</v>
      </c>
      <c r="B123" s="72">
        <f>SUM(B120:B122)</f>
        <v>9338204068.8700008</v>
      </c>
      <c r="C123" s="95"/>
      <c r="D123" s="196"/>
      <c r="E123" s="196"/>
      <c r="F123" s="95"/>
    </row>
    <row r="124" spans="1:6" x14ac:dyDescent="0.25">
      <c r="A124" s="26" t="s">
        <v>157</v>
      </c>
      <c r="B124" s="71">
        <v>297076344.11072665</v>
      </c>
      <c r="C124" s="95"/>
      <c r="D124" s="95"/>
      <c r="E124" s="95"/>
      <c r="F124" s="95"/>
    </row>
    <row r="125" spans="1:6" x14ac:dyDescent="0.25">
      <c r="A125" s="26" t="s">
        <v>158</v>
      </c>
      <c r="B125" s="71">
        <v>572431772.2692734</v>
      </c>
      <c r="C125" s="95"/>
      <c r="D125" s="95"/>
      <c r="E125" s="95"/>
      <c r="F125" s="95"/>
    </row>
    <row r="126" spans="1:6" x14ac:dyDescent="0.25">
      <c r="A126" s="55" t="s">
        <v>159</v>
      </c>
      <c r="B126" s="72">
        <f>SUM(B124:B125)</f>
        <v>869508116.38000011</v>
      </c>
      <c r="C126" s="95"/>
      <c r="D126" s="95"/>
      <c r="E126" s="95"/>
      <c r="F126" s="95"/>
    </row>
    <row r="127" spans="1:6" x14ac:dyDescent="0.25">
      <c r="A127" s="26" t="s">
        <v>160</v>
      </c>
      <c r="B127" s="71">
        <v>51519744.189131252</v>
      </c>
      <c r="C127" s="95"/>
      <c r="D127" s="95"/>
      <c r="E127" s="95"/>
      <c r="F127" s="95"/>
    </row>
    <row r="128" spans="1:6" x14ac:dyDescent="0.25">
      <c r="A128" s="26" t="s">
        <v>161</v>
      </c>
      <c r="B128" s="71">
        <v>6425590.4208687479</v>
      </c>
      <c r="C128" s="95"/>
      <c r="D128" s="95"/>
      <c r="E128" s="95"/>
      <c r="F128" s="95"/>
    </row>
    <row r="129" spans="1:6" x14ac:dyDescent="0.25">
      <c r="A129" s="55" t="s">
        <v>162</v>
      </c>
      <c r="B129" s="72">
        <f>SUM(B127:B128)</f>
        <v>57945334.609999999</v>
      </c>
      <c r="C129" s="95"/>
      <c r="D129" s="95"/>
      <c r="E129" s="95"/>
      <c r="F129" s="95"/>
    </row>
    <row r="130" spans="1:6" x14ac:dyDescent="0.25">
      <c r="A130" s="26" t="s">
        <v>167</v>
      </c>
      <c r="B130" s="71">
        <v>36.101083032490976</v>
      </c>
      <c r="C130" s="95"/>
      <c r="D130" s="95"/>
      <c r="E130" s="95"/>
      <c r="F130" s="95"/>
    </row>
    <row r="131" spans="1:6" x14ac:dyDescent="0.25">
      <c r="A131" s="26" t="s">
        <v>168</v>
      </c>
      <c r="B131" s="74">
        <f>1/B130</f>
        <v>2.7699999999999999E-2</v>
      </c>
      <c r="C131" s="95"/>
      <c r="D131" s="95"/>
      <c r="E131" s="95"/>
      <c r="F131" s="95"/>
    </row>
    <row r="132" spans="1:6" x14ac:dyDescent="0.25">
      <c r="A132" s="26" t="s">
        <v>169</v>
      </c>
      <c r="B132" s="71">
        <v>42.194092827004219</v>
      </c>
      <c r="C132" s="95"/>
      <c r="D132" s="196"/>
      <c r="E132" s="196"/>
      <c r="F132" s="95"/>
    </row>
    <row r="133" spans="1:6" x14ac:dyDescent="0.25">
      <c r="A133" s="26" t="s">
        <v>170</v>
      </c>
      <c r="B133" s="74">
        <f>1/B132</f>
        <v>2.3699999999999999E-2</v>
      </c>
      <c r="C133" s="95"/>
      <c r="D133" s="95"/>
      <c r="E133" s="95"/>
      <c r="F133" s="95"/>
    </row>
    <row r="134" spans="1:6" x14ac:dyDescent="0.25">
      <c r="A134" s="26" t="s">
        <v>171</v>
      </c>
      <c r="B134" s="71">
        <v>38.610038610038607</v>
      </c>
      <c r="C134" s="95"/>
      <c r="D134" s="166"/>
      <c r="E134" s="168"/>
      <c r="F134" s="95"/>
    </row>
    <row r="135" spans="1:6" x14ac:dyDescent="0.25">
      <c r="A135" s="26" t="s">
        <v>172</v>
      </c>
      <c r="B135" s="74">
        <f>1/B134</f>
        <v>2.5900000000000003E-2</v>
      </c>
      <c r="C135" s="95"/>
      <c r="D135" s="166"/>
      <c r="E135" s="167"/>
      <c r="F135" s="95"/>
    </row>
    <row r="136" spans="1:6" x14ac:dyDescent="0.25">
      <c r="A136" s="26" t="s">
        <v>262</v>
      </c>
      <c r="B136" s="71">
        <v>38.46153846153846</v>
      </c>
      <c r="C136" s="95"/>
      <c r="D136" s="166"/>
      <c r="E136" s="167"/>
      <c r="F136" s="95"/>
    </row>
    <row r="137" spans="1:6" x14ac:dyDescent="0.25">
      <c r="A137" s="26" t="s">
        <v>263</v>
      </c>
      <c r="B137" s="74">
        <f>1/B136</f>
        <v>2.6000000000000002E-2</v>
      </c>
      <c r="C137" s="95"/>
      <c r="D137" s="166"/>
      <c r="E137" s="167"/>
      <c r="F137" s="95"/>
    </row>
    <row r="138" spans="1:6" x14ac:dyDescent="0.25">
      <c r="A138" s="3" t="s">
        <v>275</v>
      </c>
      <c r="B138" s="146"/>
      <c r="C138" s="147"/>
      <c r="D138" s="166"/>
      <c r="E138" s="168"/>
      <c r="F138" s="95"/>
    </row>
    <row r="139" spans="1:6" x14ac:dyDescent="0.25">
      <c r="A139" s="3"/>
      <c r="B139" s="3"/>
      <c r="C139" s="95"/>
      <c r="D139" s="166"/>
      <c r="E139" s="167"/>
      <c r="F139" s="95"/>
    </row>
    <row r="140" spans="1:6" x14ac:dyDescent="0.25">
      <c r="A140" s="3"/>
      <c r="B140" s="3"/>
      <c r="C140" s="95"/>
      <c r="D140" s="166"/>
      <c r="E140" s="168"/>
      <c r="F140" s="95"/>
    </row>
    <row r="141" spans="1:6" x14ac:dyDescent="0.25">
      <c r="A141" s="3" t="s">
        <v>248</v>
      </c>
      <c r="B141" s="3"/>
      <c r="C141" s="95"/>
      <c r="D141" s="166"/>
      <c r="E141" s="167"/>
      <c r="F141" s="95"/>
    </row>
    <row r="142" spans="1:6" x14ac:dyDescent="0.25">
      <c r="A142" s="25" t="s">
        <v>246</v>
      </c>
      <c r="B142" s="25" t="s">
        <v>70</v>
      </c>
      <c r="C142" s="95"/>
      <c r="D142" s="166"/>
      <c r="E142" s="168"/>
      <c r="F142" s="95"/>
    </row>
    <row r="143" spans="1:6" x14ac:dyDescent="0.25">
      <c r="A143" s="26" t="s">
        <v>163</v>
      </c>
      <c r="B143" s="71">
        <v>170924087.58262408</v>
      </c>
      <c r="C143" s="95"/>
      <c r="D143" s="95"/>
      <c r="E143" s="95"/>
      <c r="F143" s="95"/>
    </row>
    <row r="144" spans="1:6" x14ac:dyDescent="0.25">
      <c r="A144" s="26" t="s">
        <v>164</v>
      </c>
      <c r="B144" s="71">
        <v>100923012.24554658</v>
      </c>
      <c r="C144" s="95"/>
      <c r="D144" s="95"/>
      <c r="E144" s="95"/>
      <c r="F144" s="95"/>
    </row>
    <row r="145" spans="1:6" x14ac:dyDescent="0.25">
      <c r="A145" s="26" t="s">
        <v>165</v>
      </c>
      <c r="B145" s="74">
        <v>5.57E-2</v>
      </c>
      <c r="C145" s="95"/>
      <c r="D145" s="95"/>
      <c r="E145" s="95"/>
      <c r="F145" s="95"/>
    </row>
    <row r="146" spans="1:6" x14ac:dyDescent="0.25">
      <c r="A146" s="55" t="s">
        <v>166</v>
      </c>
      <c r="B146" s="72">
        <f>SUM(B143:B144)</f>
        <v>271847099.82817066</v>
      </c>
      <c r="C146" s="95"/>
      <c r="D146" s="95"/>
      <c r="E146" s="95"/>
      <c r="F146" s="95"/>
    </row>
    <row r="147" spans="1:6" x14ac:dyDescent="0.25">
      <c r="A147" s="3" t="s">
        <v>247</v>
      </c>
    </row>
    <row r="148" spans="1:6" x14ac:dyDescent="0.25">
      <c r="A148" s="3"/>
    </row>
    <row r="149" spans="1:6" x14ac:dyDescent="0.25"/>
    <row r="150" spans="1:6" x14ac:dyDescent="0.25">
      <c r="A150" s="138" t="s">
        <v>181</v>
      </c>
    </row>
    <row r="151" spans="1:6" x14ac:dyDescent="0.25">
      <c r="A151" s="25" t="s">
        <v>116</v>
      </c>
      <c r="B151" s="25" t="s">
        <v>70</v>
      </c>
    </row>
    <row r="152" spans="1:6" x14ac:dyDescent="0.25">
      <c r="A152" s="26" t="s">
        <v>182</v>
      </c>
      <c r="B152" s="74">
        <v>0.75</v>
      </c>
    </row>
    <row r="153" spans="1:6" x14ac:dyDescent="0.25">
      <c r="A153" s="26" t="s">
        <v>183</v>
      </c>
      <c r="B153" s="75">
        <v>2021</v>
      </c>
    </row>
    <row r="154" spans="1:6" x14ac:dyDescent="0.25">
      <c r="A154" s="26" t="s">
        <v>184</v>
      </c>
      <c r="B154" s="75">
        <f>B153+B155-1</f>
        <v>2024</v>
      </c>
    </row>
    <row r="155" spans="1:6" x14ac:dyDescent="0.25">
      <c r="A155" s="26" t="s">
        <v>185</v>
      </c>
      <c r="B155" s="71">
        <v>4</v>
      </c>
    </row>
    <row r="156" spans="1:6" x14ac:dyDescent="0.25">
      <c r="A156" s="26" t="s">
        <v>213</v>
      </c>
      <c r="B156" s="74">
        <v>0.02</v>
      </c>
    </row>
    <row r="157" spans="1:6" x14ac:dyDescent="0.25">
      <c r="A157" s="26" t="s">
        <v>214</v>
      </c>
      <c r="B157" s="74">
        <v>3.9199999999999999E-2</v>
      </c>
    </row>
    <row r="158" spans="1:6" x14ac:dyDescent="0.25">
      <c r="A158" s="26" t="s">
        <v>249</v>
      </c>
      <c r="B158" s="74">
        <f>0.1421187</f>
        <v>0.14211869999999999</v>
      </c>
    </row>
    <row r="159" spans="1:6" x14ac:dyDescent="0.25"/>
    <row r="160" spans="1:6" x14ac:dyDescent="0.25">
      <c r="A160" s="138" t="s">
        <v>207</v>
      </c>
    </row>
    <row r="161" spans="1:3" x14ac:dyDescent="0.25">
      <c r="A161" s="25" t="s">
        <v>116</v>
      </c>
      <c r="B161" s="25" t="s">
        <v>70</v>
      </c>
      <c r="C161" s="119" t="s">
        <v>208</v>
      </c>
    </row>
    <row r="162" spans="1:3" x14ac:dyDescent="0.25">
      <c r="A162" s="73" t="s">
        <v>223</v>
      </c>
      <c r="B162" s="118">
        <v>1708762658.6800001</v>
      </c>
      <c r="C162" s="120" t="s">
        <v>209</v>
      </c>
    </row>
    <row r="163" spans="1:3" x14ac:dyDescent="0.25">
      <c r="A163" s="26" t="s">
        <v>218</v>
      </c>
      <c r="B163" s="118">
        <v>12483872.236783817</v>
      </c>
      <c r="C163" s="120" t="s">
        <v>210</v>
      </c>
    </row>
    <row r="164" spans="1:3" x14ac:dyDescent="0.25">
      <c r="A164" s="26" t="s">
        <v>219</v>
      </c>
      <c r="B164" s="118">
        <v>344035000</v>
      </c>
      <c r="C164" s="120" t="s">
        <v>139</v>
      </c>
    </row>
    <row r="165" spans="1:3" x14ac:dyDescent="0.25">
      <c r="A165" s="73" t="s">
        <v>224</v>
      </c>
      <c r="B165" s="148">
        <v>176725588.99000001</v>
      </c>
      <c r="C165" s="120" t="s">
        <v>139</v>
      </c>
    </row>
    <row r="166" spans="1:3" x14ac:dyDescent="0.25">
      <c r="A166" s="3" t="s">
        <v>257</v>
      </c>
    </row>
    <row r="167" spans="1:3" x14ac:dyDescent="0.25"/>
    <row r="168" spans="1:3" x14ac:dyDescent="0.25"/>
    <row r="169" spans="1:3" x14ac:dyDescent="0.25"/>
    <row r="170" spans="1:3" x14ac:dyDescent="0.25"/>
    <row r="171" spans="1:3" x14ac:dyDescent="0.25"/>
    <row r="172" spans="1:3" x14ac:dyDescent="0.25"/>
    <row r="173" spans="1:3" x14ac:dyDescent="0.25"/>
    <row r="174" spans="1:3" x14ac:dyDescent="0.25"/>
    <row r="175" spans="1:3" x14ac:dyDescent="0.25"/>
    <row r="176" spans="1:3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mergeCells count="2">
    <mergeCell ref="D123:E123"/>
    <mergeCell ref="D132:E1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B668-3EA8-4E34-9383-7745BEC7600A}">
  <dimension ref="A1:S101"/>
  <sheetViews>
    <sheetView zoomScale="85" zoomScaleNormal="85" workbookViewId="0">
      <selection activeCell="B12" sqref="B12"/>
    </sheetView>
  </sheetViews>
  <sheetFormatPr defaultColWidth="0" defaultRowHeight="15" zeroHeight="1" x14ac:dyDescent="0.25"/>
  <cols>
    <col min="1" max="1" width="43.85546875" style="4" customWidth="1"/>
    <col min="2" max="2" width="24" style="4" customWidth="1"/>
    <col min="3" max="5" width="19.7109375" style="4" customWidth="1"/>
    <col min="6" max="6" width="9.140625" style="4" customWidth="1"/>
    <col min="7" max="7" width="46.85546875" style="4" customWidth="1"/>
    <col min="8" max="8" width="24" style="4" customWidth="1"/>
    <col min="9" max="11" width="19.7109375" style="4" customWidth="1"/>
    <col min="12" max="12" width="9.140625" style="4" customWidth="1"/>
    <col min="13" max="13" width="49.7109375" style="4" customWidth="1"/>
    <col min="14" max="14" width="24" style="4" customWidth="1"/>
    <col min="15" max="17" width="19.7109375" style="4" customWidth="1"/>
    <col min="18" max="19" width="9.140625" style="4" customWidth="1"/>
    <col min="20" max="16384" width="9.140625" style="4" hidden="1"/>
  </cols>
  <sheetData>
    <row r="1" spans="1:19" x14ac:dyDescent="0.25">
      <c r="A1" s="3" t="s">
        <v>71</v>
      </c>
      <c r="G1" s="3" t="s">
        <v>78</v>
      </c>
      <c r="M1" s="3" t="s">
        <v>85</v>
      </c>
    </row>
    <row r="2" spans="1:19" s="2" customFormat="1" x14ac:dyDescent="0.25">
      <c r="A2" s="69" t="s">
        <v>79</v>
      </c>
      <c r="B2" s="62">
        <v>2021</v>
      </c>
      <c r="C2" s="62">
        <v>2022</v>
      </c>
      <c r="D2" s="62">
        <v>2023</v>
      </c>
      <c r="E2" s="62">
        <v>2024</v>
      </c>
      <c r="F2" s="4"/>
      <c r="G2" s="69" t="s">
        <v>80</v>
      </c>
      <c r="H2" s="62">
        <v>2021</v>
      </c>
      <c r="I2" s="62">
        <v>2022</v>
      </c>
      <c r="J2" s="62">
        <v>2023</v>
      </c>
      <c r="K2" s="62">
        <v>2024</v>
      </c>
      <c r="L2" s="4"/>
      <c r="M2" s="69" t="s">
        <v>86</v>
      </c>
      <c r="N2" s="62">
        <v>2021</v>
      </c>
      <c r="O2" s="62">
        <v>2022</v>
      </c>
      <c r="P2" s="62">
        <v>2023</v>
      </c>
      <c r="Q2" s="62">
        <v>2024</v>
      </c>
      <c r="R2" s="4"/>
      <c r="S2" s="4"/>
    </row>
    <row r="3" spans="1:19" s="2" customFormat="1" x14ac:dyDescent="0.25">
      <c r="A3" s="59" t="s">
        <v>18</v>
      </c>
      <c r="B3" s="131">
        <f>B62</f>
        <v>4.1336514499358801</v>
      </c>
      <c r="C3" s="131">
        <f>B3</f>
        <v>4.1336514499358801</v>
      </c>
      <c r="D3" s="131">
        <f>B3</f>
        <v>4.1336514499358801</v>
      </c>
      <c r="E3" s="131">
        <f>B3</f>
        <v>4.1336514499358801</v>
      </c>
      <c r="F3" s="4"/>
      <c r="G3" s="57" t="s">
        <v>18</v>
      </c>
      <c r="H3" s="58">
        <f>H46</f>
        <v>4.1495426837885478</v>
      </c>
      <c r="I3" s="58">
        <f>$H$3</f>
        <v>4.1495426837885478</v>
      </c>
      <c r="J3" s="58">
        <f t="shared" ref="J3:K3" si="0">$H$3</f>
        <v>4.1495426837885478</v>
      </c>
      <c r="K3" s="58">
        <f t="shared" si="0"/>
        <v>4.1495426837885478</v>
      </c>
      <c r="L3" s="4"/>
      <c r="M3" s="57" t="s">
        <v>18</v>
      </c>
      <c r="N3" s="58">
        <f>N46</f>
        <v>4.1007292702717262</v>
      </c>
      <c r="O3" s="58">
        <f>$N$3</f>
        <v>4.1007292702717262</v>
      </c>
      <c r="P3" s="58">
        <f t="shared" ref="P3:Q3" si="1">$N$3</f>
        <v>4.1007292702717262</v>
      </c>
      <c r="Q3" s="58">
        <f t="shared" si="1"/>
        <v>4.1007292702717262</v>
      </c>
      <c r="R3" s="4"/>
      <c r="S3" s="4"/>
    </row>
    <row r="4" spans="1:19" s="2" customFormat="1" x14ac:dyDescent="0.25">
      <c r="A4" s="59" t="s">
        <v>51</v>
      </c>
      <c r="B4" s="60">
        <f>'I-Dados'!D5</f>
        <v>933405017</v>
      </c>
      <c r="C4" s="60">
        <f t="shared" ref="C4:E4" si="2">I4+O4</f>
        <v>976505620</v>
      </c>
      <c r="D4" s="60">
        <f t="shared" si="2"/>
        <v>993780787</v>
      </c>
      <c r="E4" s="60">
        <f t="shared" si="2"/>
        <v>1011523556</v>
      </c>
      <c r="F4" s="4"/>
      <c r="G4" s="59" t="s">
        <v>51</v>
      </c>
      <c r="H4" s="60">
        <f>'I-Dados'!D3</f>
        <v>527393716</v>
      </c>
      <c r="I4" s="60">
        <f>'I-Dados'!E3</f>
        <v>548051202</v>
      </c>
      <c r="J4" s="60">
        <f>'I-Dados'!F3</f>
        <v>553474720</v>
      </c>
      <c r="K4" s="60">
        <f>'I-Dados'!G3</f>
        <v>561193853</v>
      </c>
      <c r="L4" s="4"/>
      <c r="M4" s="59" t="s">
        <v>51</v>
      </c>
      <c r="N4" s="60">
        <f>'I-Dados'!D4</f>
        <v>406011301</v>
      </c>
      <c r="O4" s="60">
        <f>'I-Dados'!E4</f>
        <v>428454418</v>
      </c>
      <c r="P4" s="60">
        <f>'I-Dados'!F4</f>
        <v>440306067</v>
      </c>
      <c r="Q4" s="60">
        <f>'I-Dados'!G4</f>
        <v>450329703</v>
      </c>
      <c r="R4" s="4"/>
      <c r="S4" s="4"/>
    </row>
    <row r="5" spans="1:19" s="2" customFormat="1" x14ac:dyDescent="0.25">
      <c r="A5" s="64" t="s">
        <v>12</v>
      </c>
      <c r="B5" s="60">
        <f>(('I-Dados'!B60)*'I-Dados'!B152)*((((B4/'I-Dados'!B5)-1)/2)+1)</f>
        <v>126816880.85614884</v>
      </c>
      <c r="C5" s="60">
        <f>B5*(((C4/B4-1)/2)+1)</f>
        <v>129744808.14169456</v>
      </c>
      <c r="D5" s="60">
        <f>C5*(((D4/C4-1)/2)+1)</f>
        <v>130892452.95915641</v>
      </c>
      <c r="E5" s="60">
        <f>D5*(((E4/D4-1)/2)+1)</f>
        <v>132060917.16528603</v>
      </c>
      <c r="F5" s="4"/>
      <c r="G5" s="64" t="s">
        <v>12</v>
      </c>
      <c r="H5" s="60">
        <f>(('I-Dados'!B53+'I-Dados'!B55+'I-Dados'!B58+(0.5*'I-Dados'!B57))*'I-Dados'!B152)*((((H4/'I-Dados'!B3)-1)/2)+1)</f>
        <v>89726266.427877873</v>
      </c>
      <c r="I5" s="60">
        <f>H5*(((I4/H4-1)/2)+1)</f>
        <v>91483510.623565391</v>
      </c>
      <c r="J5" s="60">
        <f>I5*(((J4/I4-1)/2)+1)</f>
        <v>91936171.309975222</v>
      </c>
      <c r="K5" s="60">
        <f>J5*(((K4/J4-1)/2)+1)</f>
        <v>92577273.340662807</v>
      </c>
      <c r="L5" s="4"/>
      <c r="M5" s="64" t="s">
        <v>12</v>
      </c>
      <c r="N5" s="60">
        <f>(('I-Dados'!B54+'I-Dados'!B56+'I-Dados'!B59+(0.5*'I-Dados'!B57))*'I-Dados'!B152)*((((N4/'I-Dados'!B4)-1)/2)+1)</f>
        <v>36921279.327034317</v>
      </c>
      <c r="O5" s="60">
        <f>N5*(((O4/N4-1)/2)+1)</f>
        <v>37941729.484068632</v>
      </c>
      <c r="P5" s="60">
        <f>O5*(((P4/O4-1)/2)+1)</f>
        <v>38466490.160358511</v>
      </c>
      <c r="Q5" s="60">
        <f>P5*(((Q4/P4-1)/2)+1)</f>
        <v>38904337.971759453</v>
      </c>
      <c r="R5" s="4"/>
      <c r="S5" s="4"/>
    </row>
    <row r="6" spans="1:19" s="2" customFormat="1" x14ac:dyDescent="0.25">
      <c r="A6" s="70" t="s">
        <v>91</v>
      </c>
      <c r="B6" s="63">
        <f>B3*B4+B5</f>
        <v>3985187882.7556233</v>
      </c>
      <c r="C6" s="63">
        <f>C3*C4+C5</f>
        <v>4166278680.1252303</v>
      </c>
      <c r="D6" s="63">
        <f>D3*D4+D5</f>
        <v>4238835844.0601263</v>
      </c>
      <c r="E6" s="63">
        <f>E3*E4+E5</f>
        <v>4313346731.0689831</v>
      </c>
      <c r="F6" s="16"/>
      <c r="G6" s="70" t="s">
        <v>81</v>
      </c>
      <c r="H6" s="63">
        <f>H3*H4+H5</f>
        <v>2278169002.1317329</v>
      </c>
      <c r="I6" s="63">
        <f>I3*I4+I5</f>
        <v>2365645366.224185</v>
      </c>
      <c r="J6" s="63">
        <f>J3*J4+J5</f>
        <v>2388603146.3478904</v>
      </c>
      <c r="K6" s="63">
        <f>K3*K4+K5</f>
        <v>2421275120.2439189</v>
      </c>
      <c r="L6" s="4"/>
      <c r="M6" s="70" t="s">
        <v>87</v>
      </c>
      <c r="N6" s="63">
        <f>N3*N4+N5</f>
        <v>1701863705.3988385</v>
      </c>
      <c r="O6" s="63">
        <f>O3*O4+O5</f>
        <v>1794917302.3539057</v>
      </c>
      <c r="P6" s="63">
        <f>P3*P4+P5</f>
        <v>1844042466.9854822</v>
      </c>
      <c r="Q6" s="63">
        <f>Q3*Q4+Q5</f>
        <v>1885584532.3366327</v>
      </c>
      <c r="R6" s="4"/>
      <c r="S6" s="4"/>
    </row>
    <row r="7" spans="1:19" s="2" customFormat="1" x14ac:dyDescent="0.25">
      <c r="A7" s="55" t="s">
        <v>19</v>
      </c>
      <c r="B7" s="72">
        <f>SUM(B8:B10)</f>
        <v>1727785471.3770413</v>
      </c>
      <c r="C7" s="72">
        <f t="shared" ref="C7:E7" si="3">SUM(C8:C10)</f>
        <v>1807567124.9086823</v>
      </c>
      <c r="D7" s="72">
        <f t="shared" si="3"/>
        <v>1839544435.952225</v>
      </c>
      <c r="E7" s="72">
        <f t="shared" si="3"/>
        <v>1872387304.7410896</v>
      </c>
      <c r="F7" s="16"/>
      <c r="G7" s="55" t="s">
        <v>19</v>
      </c>
      <c r="H7" s="72">
        <f t="shared" ref="H7:K7" si="4">SUM(H8:H10)</f>
        <v>1084812058.4271669</v>
      </c>
      <c r="I7" s="72">
        <f t="shared" si="4"/>
        <v>1127303065.1072512</v>
      </c>
      <c r="J7" s="72">
        <f t="shared" si="4"/>
        <v>1138458863.0377231</v>
      </c>
      <c r="K7" s="72">
        <f t="shared" si="4"/>
        <v>1154336580.774889</v>
      </c>
      <c r="L7" s="4"/>
      <c r="M7" s="55" t="s">
        <v>19</v>
      </c>
      <c r="N7" s="72">
        <f t="shared" ref="N7:P7" si="5">SUM(N8:N10)</f>
        <v>640903039.26581621</v>
      </c>
      <c r="O7" s="72">
        <f t="shared" si="5"/>
        <v>676330284.42000532</v>
      </c>
      <c r="P7" s="72">
        <f t="shared" si="5"/>
        <v>695038526.88937378</v>
      </c>
      <c r="Q7" s="72">
        <f>SUM(Q8:Q10)</f>
        <v>710861186.90172195</v>
      </c>
      <c r="R7" s="4"/>
      <c r="S7" s="4"/>
    </row>
    <row r="8" spans="1:19" s="2" customFormat="1" x14ac:dyDescent="0.25">
      <c r="A8" s="57" t="s">
        <v>52</v>
      </c>
      <c r="B8" s="61">
        <f>('I-Dados'!B23+'I-Dados'!B24)*'A-Tarifa-P0'!B4/'I-Dados'!B5</f>
        <v>827507729.80376959</v>
      </c>
      <c r="C8" s="61">
        <f>B8*C$4/B$4</f>
        <v>865718454.50753832</v>
      </c>
      <c r="D8" s="61">
        <f t="shared" ref="D8:E8" si="6">C8*D$4/C$4</f>
        <v>881033707.7639401</v>
      </c>
      <c r="E8" s="61">
        <f t="shared" si="6"/>
        <v>896763512.32703543</v>
      </c>
      <c r="F8" s="16"/>
      <c r="G8" s="57" t="s">
        <v>52</v>
      </c>
      <c r="H8" s="61">
        <f>'I-Dados'!B23*('A-Tarifa-P0'!H4/'I-Dados'!B3)</f>
        <v>519561241.16228515</v>
      </c>
      <c r="I8" s="61">
        <f>H8*(I$4/H$4)</f>
        <v>539911936.9325254</v>
      </c>
      <c r="J8" s="61">
        <f t="shared" ref="J8:K8" si="7">I8*(J$4/I$4)</f>
        <v>545254908.7163341</v>
      </c>
      <c r="K8" s="61">
        <f t="shared" si="7"/>
        <v>552859402.66555047</v>
      </c>
      <c r="L8" s="4"/>
      <c r="M8" s="57" t="s">
        <v>52</v>
      </c>
      <c r="N8" s="61">
        <f>('I-Dados'!B24)*('A-Tarifa-P0'!N4/'I-Dados'!B4)</f>
        <v>306954901.28294909</v>
      </c>
      <c r="O8" s="61">
        <f>N8*O$4/N$4</f>
        <v>323922470.27979499</v>
      </c>
      <c r="P8" s="61">
        <f t="shared" ref="P8:Q8" si="8">O8*P$4/O$4</f>
        <v>332882619.27041429</v>
      </c>
      <c r="Q8" s="61">
        <f t="shared" si="8"/>
        <v>340460743.79871702</v>
      </c>
      <c r="R8" s="4"/>
      <c r="S8" s="4"/>
    </row>
    <row r="9" spans="1:19" s="2" customFormat="1" x14ac:dyDescent="0.25">
      <c r="A9" s="59" t="s">
        <v>53</v>
      </c>
      <c r="B9" s="60">
        <f>('I-Dados'!B25+'I-Dados'!B26)*'A-Tarifa-P0'!B4/'I-Dados'!B5</f>
        <v>187881917.85085702</v>
      </c>
      <c r="C9" s="61">
        <f t="shared" ref="C9:E10" si="9">B9*C$4/B$4</f>
        <v>196557491.48147142</v>
      </c>
      <c r="D9" s="61">
        <f t="shared" si="9"/>
        <v>200034751.02908519</v>
      </c>
      <c r="E9" s="61">
        <f t="shared" si="9"/>
        <v>203606132.59120587</v>
      </c>
      <c r="F9" s="16"/>
      <c r="G9" s="59" t="s">
        <v>53</v>
      </c>
      <c r="H9" s="60">
        <f>'I-Dados'!B25*('A-Tarifa-P0'!H4/'I-Dados'!B3)</f>
        <v>117964048.71193376</v>
      </c>
      <c r="I9" s="61">
        <f t="shared" ref="I9:K10" si="10">H9*(I$4/H$4)</f>
        <v>122584582.87994058</v>
      </c>
      <c r="J9" s="61">
        <f t="shared" si="10"/>
        <v>123797680.65136351</v>
      </c>
      <c r="K9" s="61">
        <f t="shared" si="10"/>
        <v>125524246.88376415</v>
      </c>
      <c r="L9" s="4"/>
      <c r="M9" s="59" t="s">
        <v>53</v>
      </c>
      <c r="N9" s="60">
        <f>('I-Dados'!B26)*('A-Tarifa-P0'!N4/'I-Dados'!B4)</f>
        <v>69692733.683939323</v>
      </c>
      <c r="O9" s="61">
        <f>N9*O$4/N$4</f>
        <v>73545144.127358213</v>
      </c>
      <c r="P9" s="61">
        <f t="shared" ref="P9:Q10" si="11">O9*P$4/O$4</f>
        <v>75579505.770588741</v>
      </c>
      <c r="Q9" s="61">
        <f t="shared" si="11"/>
        <v>77300084.957848221</v>
      </c>
      <c r="R9" s="4"/>
      <c r="S9" s="4"/>
    </row>
    <row r="10" spans="1:19" s="2" customFormat="1" x14ac:dyDescent="0.25">
      <c r="A10" s="57" t="s">
        <v>54</v>
      </c>
      <c r="B10" s="61">
        <f>('I-Dados'!B27+'I-Dados'!B28)*'A-Tarifa-P0'!B4/'I-Dados'!B5</f>
        <v>712395823.72241461</v>
      </c>
      <c r="C10" s="61">
        <f t="shared" si="9"/>
        <v>745291178.91967273</v>
      </c>
      <c r="D10" s="61">
        <f t="shared" si="9"/>
        <v>758475977.15919971</v>
      </c>
      <c r="E10" s="61">
        <f t="shared" si="9"/>
        <v>772017659.82284832</v>
      </c>
      <c r="F10" s="4"/>
      <c r="G10" s="57" t="s">
        <v>54</v>
      </c>
      <c r="H10" s="61">
        <f>'I-Dados'!B27*('A-Tarifa-P0'!H4/'I-Dados'!B3)</f>
        <v>447286768.55294812</v>
      </c>
      <c r="I10" s="61">
        <f t="shared" si="10"/>
        <v>464806545.29478502</v>
      </c>
      <c r="J10" s="61">
        <f t="shared" si="10"/>
        <v>469406273.67002559</v>
      </c>
      <c r="K10" s="61">
        <f t="shared" si="10"/>
        <v>475952931.22557449</v>
      </c>
      <c r="L10" s="4"/>
      <c r="M10" s="57" t="s">
        <v>54</v>
      </c>
      <c r="N10" s="61">
        <f>('I-Dados'!B28)*('A-Tarifa-P0'!N4/'I-Dados'!B4)</f>
        <v>264255404.29892778</v>
      </c>
      <c r="O10" s="61">
        <f>N10*O$4/N$4</f>
        <v>278862670.01285219</v>
      </c>
      <c r="P10" s="61">
        <f t="shared" si="11"/>
        <v>286576401.84837067</v>
      </c>
      <c r="Q10" s="61">
        <f t="shared" si="11"/>
        <v>293100358.1451568</v>
      </c>
      <c r="R10" s="4"/>
      <c r="S10" s="4"/>
    </row>
    <row r="11" spans="1:19" s="2" customFormat="1" x14ac:dyDescent="0.25">
      <c r="A11" s="56" t="s">
        <v>42</v>
      </c>
      <c r="B11" s="72">
        <f t="shared" ref="B11:D11" si="12">B12</f>
        <v>23883173784.390003</v>
      </c>
      <c r="C11" s="72">
        <f>C12</f>
        <v>25131384784.390003</v>
      </c>
      <c r="D11" s="72">
        <f t="shared" si="12"/>
        <v>26476555784.390003</v>
      </c>
      <c r="E11" s="72">
        <f>E12</f>
        <v>27906307784.390003</v>
      </c>
      <c r="F11" s="4"/>
      <c r="G11" s="56" t="s">
        <v>42</v>
      </c>
      <c r="H11" s="85">
        <f t="shared" ref="H11:J11" si="13">H12</f>
        <v>13510529602.466726</v>
      </c>
      <c r="I11" s="85">
        <f t="shared" si="13"/>
        <v>14102945602.466726</v>
      </c>
      <c r="J11" s="85">
        <f t="shared" si="13"/>
        <v>14646704102.466726</v>
      </c>
      <c r="K11" s="85">
        <f>K12</f>
        <v>15210281602.466726</v>
      </c>
      <c r="L11" s="4"/>
      <c r="M11" s="56" t="s">
        <v>42</v>
      </c>
      <c r="N11" s="85">
        <f>N12</f>
        <v>10372644181.923275</v>
      </c>
      <c r="O11" s="85">
        <f t="shared" ref="O11:Q11" si="14">O12</f>
        <v>11028439181.923275</v>
      </c>
      <c r="P11" s="85">
        <f t="shared" si="14"/>
        <v>11829851681.923275</v>
      </c>
      <c r="Q11" s="85">
        <f t="shared" si="14"/>
        <v>12696026181.923275</v>
      </c>
      <c r="R11" s="4"/>
      <c r="S11" s="4"/>
    </row>
    <row r="12" spans="1:19" s="2" customFormat="1" x14ac:dyDescent="0.25">
      <c r="A12" s="65" t="s">
        <v>55</v>
      </c>
      <c r="B12" s="84">
        <f>'I-Dados'!B116+(0.5*B22)</f>
        <v>23883173784.390003</v>
      </c>
      <c r="C12" s="84">
        <f>B12+(0.5*B22)+(0.5*C22)</f>
        <v>25131384784.390003</v>
      </c>
      <c r="D12" s="84">
        <f>C12+(0.5*C22)+(0.5*D22)</f>
        <v>26476555784.390003</v>
      </c>
      <c r="E12" s="84">
        <f>D12+(0.5*D22)+(0.5*E22)</f>
        <v>27906307784.390003</v>
      </c>
      <c r="F12" s="4"/>
      <c r="G12" s="65" t="s">
        <v>55</v>
      </c>
      <c r="H12" s="84">
        <f>'I-Dados'!B105+('I-Dados'!B115*('I-Dados'!B105/('I-Dados'!B105+'I-Dados'!B110)))+(0.5*H22)</f>
        <v>13510529602.466726</v>
      </c>
      <c r="I12" s="84">
        <f>H12+(0.5*H22)+(0.5*I22)</f>
        <v>14102945602.466726</v>
      </c>
      <c r="J12" s="84">
        <f t="shared" ref="J12:K12" si="15">I12+(0.5*I22)+(0.5*J22)</f>
        <v>14646704102.466726</v>
      </c>
      <c r="K12" s="84">
        <f t="shared" si="15"/>
        <v>15210281602.466726</v>
      </c>
      <c r="L12" s="4"/>
      <c r="M12" s="65" t="s">
        <v>55</v>
      </c>
      <c r="N12" s="84">
        <f>'I-Dados'!B110+'I-Dados'!B115*('I-Dados'!B110/('I-Dados'!B110+'I-Dados'!B105))+(0.5*N22)</f>
        <v>10372644181.923275</v>
      </c>
      <c r="O12" s="84">
        <f>N12+(0.5*N22)+(0.5*O22)</f>
        <v>11028439181.923275</v>
      </c>
      <c r="P12" s="84">
        <f t="shared" ref="P12:Q12" si="16">O12+(0.5*O22)+(0.5*P22)</f>
        <v>11829851681.923275</v>
      </c>
      <c r="Q12" s="84">
        <f t="shared" si="16"/>
        <v>12696026181.923275</v>
      </c>
      <c r="R12" s="4"/>
      <c r="S12" s="4"/>
    </row>
    <row r="13" spans="1:19" s="2" customFormat="1" x14ac:dyDescent="0.25">
      <c r="A13" s="67" t="s">
        <v>188</v>
      </c>
      <c r="B13" s="80">
        <f>('I-Dados'!B101+'I-Dados'!B106+'I-Dados'!B111)*'A-Tarifa-P0'!B12/'I-Dados'!B116</f>
        <v>21614812186.258537</v>
      </c>
      <c r="C13" s="80">
        <f>B13*C12/B12</f>
        <v>22744471358.753269</v>
      </c>
      <c r="D13" s="80">
        <f t="shared" ref="D13:E13" si="17">C13*D12/C12</f>
        <v>23961881523.159698</v>
      </c>
      <c r="E13" s="80">
        <f t="shared" si="17"/>
        <v>25255839404.633816</v>
      </c>
      <c r="F13" s="4"/>
      <c r="G13" s="67" t="s">
        <v>188</v>
      </c>
      <c r="H13" s="80">
        <f>('I-Dados'!B101+'I-Dados'!B111*'I-Dados'!B101/('I-Dados'!B101+'I-Dados'!B106))*'A-Tarifa-P0'!H12/('I-Dados'!B105+'I-Dados'!B115*'I-Dados'!B105/('I-Dados'!B105+'I-Dados'!B110))</f>
        <v>11974700686.823999</v>
      </c>
      <c r="I13" s="81">
        <f>H13*I12/H12</f>
        <v>12499772944.597694</v>
      </c>
      <c r="J13" s="81">
        <f t="shared" ref="J13:K13" si="18">I13*J12/I12</f>
        <v>12981718913.779211</v>
      </c>
      <c r="K13" s="81">
        <f t="shared" si="18"/>
        <v>13481230929.584749</v>
      </c>
      <c r="L13" s="4"/>
      <c r="M13" s="67" t="s">
        <v>188</v>
      </c>
      <c r="N13" s="60">
        <f>('I-Dados'!B106+'I-Dados'!B111*('I-Dados'!B106/('I-Dados'!B106+'I-Dados'!B101)))*'A-Tarifa-P0'!N12/('I-Dados'!B110+'I-Dados'!B115*('I-Dados'!B110/('I-Dados'!B105+'I-Dados'!B110)))</f>
        <v>9641466385.2328701</v>
      </c>
      <c r="O13" s="60">
        <f>N13*O12/N12</f>
        <v>10251033756.600218</v>
      </c>
      <c r="P13" s="60">
        <f t="shared" ref="P13:Q13" si="19">O13*P12/O12</f>
        <v>10995953908.485996</v>
      </c>
      <c r="Q13" s="60">
        <f t="shared" si="19"/>
        <v>11801070923.880177</v>
      </c>
      <c r="R13" s="4"/>
      <c r="S13" s="4"/>
    </row>
    <row r="14" spans="1:19" s="2" customFormat="1" x14ac:dyDescent="0.25">
      <c r="A14" s="67" t="s">
        <v>56</v>
      </c>
      <c r="B14" s="80">
        <f>('I-Dados'!B103+'I-Dados'!B108+'I-Dados'!B113)*'A-Tarifa-P0'!B12/'I-Dados'!B116</f>
        <v>1456061635.7062066</v>
      </c>
      <c r="C14" s="80">
        <f>B14*C12/B12</f>
        <v>1532160070.8126152</v>
      </c>
      <c r="D14" s="80">
        <f t="shared" ref="D14:E14" si="20">C14*D12/C12</f>
        <v>1614169769.533843</v>
      </c>
      <c r="E14" s="80">
        <f t="shared" si="20"/>
        <v>1701336033.7233572</v>
      </c>
      <c r="F14" s="4"/>
      <c r="G14" s="67" t="s">
        <v>56</v>
      </c>
      <c r="H14" s="80">
        <f>('I-Dados'!B103+'I-Dados'!B113*('I-Dados'!B103/('I-Dados'!B103+'I-Dados'!B108)))*'A-Tarifa-P0'!H12/('I-Dados'!B105+'I-Dados'!B115*'I-Dados'!B105/('I-Dados'!B105+'I-Dados'!B110))</f>
        <v>1077358705.21544</v>
      </c>
      <c r="I14" s="81">
        <f>H14*I12/H12</f>
        <v>1124599231.9370854</v>
      </c>
      <c r="J14" s="81">
        <f t="shared" ref="J14:K14" si="21">I14*J12/I12</f>
        <v>1167959704.8975925</v>
      </c>
      <c r="K14" s="81">
        <f t="shared" si="21"/>
        <v>1212900587.5686684</v>
      </c>
      <c r="L14" s="4"/>
      <c r="M14" s="67" t="s">
        <v>56</v>
      </c>
      <c r="N14" s="60">
        <f>('I-Dados'!B108+'I-Dados'!B113*'I-Dados'!B108/('I-Dados'!B108+'I-Dados'!B103))*'A-Tarifa-P0'!N12/('I-Dados'!B110+'I-Dados'!B115*'I-Dados'!B110/('I-Dados'!B110+'I-Dados'!B105))</f>
        <v>377342458.04403162</v>
      </c>
      <c r="O14" s="60">
        <f>N14*O12/N12</f>
        <v>401199373.68992263</v>
      </c>
      <c r="P14" s="60">
        <f t="shared" ref="P14:Q14" si="22">O14*P12/O12</f>
        <v>430353652.71013874</v>
      </c>
      <c r="Q14" s="60">
        <f t="shared" si="22"/>
        <v>461863883.77491027</v>
      </c>
      <c r="R14" s="4"/>
      <c r="S14" s="4"/>
    </row>
    <row r="15" spans="1:19" s="2" customFormat="1" x14ac:dyDescent="0.25">
      <c r="A15" s="67" t="s">
        <v>57</v>
      </c>
      <c r="B15" s="101">
        <f>('I-Dados'!B104+'I-Dados'!B109+'I-Dados'!B114)*'A-Tarifa-P0'!B12/'I-Dados'!B116</f>
        <v>20216584.848955505</v>
      </c>
      <c r="C15" s="80">
        <f>B15*C12/B12</f>
        <v>21273168.19163473</v>
      </c>
      <c r="D15" s="80">
        <f t="shared" ref="D15:E15" si="23">C15*D12/C12</f>
        <v>22411826.056094468</v>
      </c>
      <c r="E15" s="80">
        <f t="shared" si="23"/>
        <v>23622079.889270354</v>
      </c>
      <c r="F15" s="4"/>
      <c r="G15" s="67" t="s">
        <v>57</v>
      </c>
      <c r="H15" s="80">
        <f>('I-Dados'!B104+'I-Dados'!B114*'I-Dados'!B104/('I-Dados'!B104+'I-Dados'!B109))*'A-Tarifa-P0'!H12/('I-Dados'!B105+'I-Dados'!B115*'I-Dados'!B105/('I-Dados'!B105+'I-Dados'!B110))</f>
        <v>20163180.14971263</v>
      </c>
      <c r="I15" s="81">
        <f>H15*I12/H12</f>
        <v>21047304.672069713</v>
      </c>
      <c r="J15" s="81">
        <f t="shared" ref="J15:K15" si="24">I15*J12/I12</f>
        <v>21858812.504555847</v>
      </c>
      <c r="K15" s="81">
        <f t="shared" si="24"/>
        <v>22699898.309123415</v>
      </c>
      <c r="L15" s="4"/>
      <c r="M15" s="67" t="s">
        <v>57</v>
      </c>
      <c r="N15" s="60">
        <f>('I-Dados'!B109+'I-Dados'!B114*'I-Dados'!B109/('I-Dados'!B109+'I-Dados'!B104))*'A-Tarifa-P0'!N12/('I-Dados'!B110+'I-Dados'!B115*'I-Dados'!B110/('I-Dados'!B110+'I-Dados'!B105))</f>
        <v>6602.47797673485</v>
      </c>
      <c r="O15" s="60">
        <f>N15*O12/N12</f>
        <v>7019.9098262046919</v>
      </c>
      <c r="P15" s="60">
        <f t="shared" ref="P15:Q15" si="25">O15*P12/O12</f>
        <v>7530.0312849886868</v>
      </c>
      <c r="Q15" s="60">
        <f t="shared" si="25"/>
        <v>8081.3755671174249</v>
      </c>
      <c r="R15" s="4"/>
      <c r="S15" s="4"/>
    </row>
    <row r="16" spans="1:19" s="2" customFormat="1" x14ac:dyDescent="0.25">
      <c r="A16" s="67" t="s">
        <v>72</v>
      </c>
      <c r="B16" s="80">
        <f>'I-Dados'!B102+'I-Dados'!B107+'I-Dados'!B112</f>
        <v>772268303.91999996</v>
      </c>
      <c r="C16" s="80">
        <f>$B$16</f>
        <v>772268303.91999996</v>
      </c>
      <c r="D16" s="80">
        <f t="shared" ref="D16:E16" si="26">$B$16</f>
        <v>772268303.91999996</v>
      </c>
      <c r="E16" s="80">
        <f t="shared" si="26"/>
        <v>772268303.91999996</v>
      </c>
      <c r="F16" s="4"/>
      <c r="G16" s="67" t="s">
        <v>72</v>
      </c>
      <c r="H16" s="80">
        <f>'I-Dados'!B102+'I-Dados'!B112*'I-Dados'!B102/('I-Dados'!B102+'I-Dados'!B107)</f>
        <v>442375338.58754009</v>
      </c>
      <c r="I16" s="81">
        <f>$H$16</f>
        <v>442375338.58754009</v>
      </c>
      <c r="J16" s="81">
        <f t="shared" ref="J16:K16" si="27">$H$16</f>
        <v>442375338.58754009</v>
      </c>
      <c r="K16" s="81">
        <f t="shared" si="27"/>
        <v>442375338.58754009</v>
      </c>
      <c r="L16" s="4"/>
      <c r="M16" s="67" t="s">
        <v>72</v>
      </c>
      <c r="N16" s="60">
        <f>'I-Dados'!B107+'I-Dados'!B112*'I-Dados'!B107/('I-Dados'!B107+'I-Dados'!B102)</f>
        <v>329892965.33245993</v>
      </c>
      <c r="O16" s="60">
        <f>$N$16</f>
        <v>329892965.33245993</v>
      </c>
      <c r="P16" s="60">
        <f t="shared" ref="P16:Q16" si="28">$N$16</f>
        <v>329892965.33245993</v>
      </c>
      <c r="Q16" s="60">
        <f t="shared" si="28"/>
        <v>329892965.33245993</v>
      </c>
      <c r="R16" s="4"/>
      <c r="S16" s="4"/>
    </row>
    <row r="17" spans="1:19" s="2" customFormat="1" x14ac:dyDescent="0.25">
      <c r="A17" s="66" t="s">
        <v>190</v>
      </c>
      <c r="B17" s="83">
        <f>B16*B28</f>
        <v>20078975.901920002</v>
      </c>
      <c r="C17" s="76">
        <f t="shared" ref="C17:E17" si="29">C16*C28</f>
        <v>20078975.901920002</v>
      </c>
      <c r="D17" s="76">
        <f t="shared" si="29"/>
        <v>20078975.901920002</v>
      </c>
      <c r="E17" s="76">
        <f t="shared" si="29"/>
        <v>20078975.901920002</v>
      </c>
      <c r="F17" s="4"/>
      <c r="G17" s="66" t="s">
        <v>190</v>
      </c>
      <c r="H17" s="76">
        <f>H16*H28</f>
        <v>12253796.878874861</v>
      </c>
      <c r="I17" s="76">
        <f t="shared" ref="I17:K17" si="30">I16*I28</f>
        <v>12253796.878874861</v>
      </c>
      <c r="J17" s="76">
        <f t="shared" si="30"/>
        <v>12253796.878874861</v>
      </c>
      <c r="K17" s="76">
        <f t="shared" si="30"/>
        <v>12253796.878874861</v>
      </c>
      <c r="L17" s="4"/>
      <c r="M17" s="66" t="s">
        <v>190</v>
      </c>
      <c r="N17" s="83">
        <f>N16*N28</f>
        <v>7818463.2783792997</v>
      </c>
      <c r="O17" s="76">
        <f t="shared" ref="O17:Q17" si="31">O16*O28</f>
        <v>7818463.2783792997</v>
      </c>
      <c r="P17" s="76">
        <f t="shared" si="31"/>
        <v>7818463.2783792997</v>
      </c>
      <c r="Q17" s="76">
        <f t="shared" si="31"/>
        <v>7818463.2783792997</v>
      </c>
      <c r="R17" s="4"/>
      <c r="S17" s="4"/>
    </row>
    <row r="18" spans="1:19" s="2" customFormat="1" x14ac:dyDescent="0.25">
      <c r="A18" s="66" t="s">
        <v>189</v>
      </c>
      <c r="B18" s="83">
        <f>('I-Dados'!B117+'I-Dados'!B118)*(1+'I-Dados'!B158)*'A-Tarifa-P0'!B12/'I-Dados'!B116</f>
        <v>139127361.07534242</v>
      </c>
      <c r="C18" s="76">
        <f>B18*C12/B12</f>
        <v>146398601.65931866</v>
      </c>
      <c r="D18" s="76">
        <f t="shared" ref="D18:E18" si="32">C18*D12/C12</f>
        <v>154234666.20897245</v>
      </c>
      <c r="E18" s="76">
        <f t="shared" si="32"/>
        <v>162563442.96820724</v>
      </c>
      <c r="F18" s="4"/>
      <c r="G18" s="66" t="s">
        <v>189</v>
      </c>
      <c r="H18" s="76">
        <f>'I-Dados'!B117*(1+'I-Dados'!B158)*'A-Tarifa-P0'!H12/'I-Dados'!B105</f>
        <v>112402093.67775699</v>
      </c>
      <c r="I18" s="76">
        <f>H18*I12/H12</f>
        <v>117330753.07805499</v>
      </c>
      <c r="J18" s="76">
        <f t="shared" ref="J18:K18" si="33">I18*J12/I12</f>
        <v>121854601.93176074</v>
      </c>
      <c r="K18" s="76">
        <f t="shared" si="33"/>
        <v>126543336.77884699</v>
      </c>
      <c r="L18" s="4"/>
      <c r="M18" s="66" t="s">
        <v>189</v>
      </c>
      <c r="N18" s="83">
        <f>'I-Dados'!B118*(1+'I-Dados'!B158)*'A-Tarifa-P0'!N12/'I-Dados'!B110</f>
        <v>28317700.922427043</v>
      </c>
      <c r="O18" s="76">
        <f>N18*O12/N12</f>
        <v>30108045.443141118</v>
      </c>
      <c r="P18" s="76">
        <f t="shared" ref="P18:Q18" si="34">O18*P12/O12</f>
        <v>32295931.105896655</v>
      </c>
      <c r="Q18" s="76">
        <f t="shared" si="34"/>
        <v>34660619.415592909</v>
      </c>
      <c r="R18" s="4"/>
      <c r="S18" s="4"/>
    </row>
    <row r="19" spans="1:19" s="2" customFormat="1" x14ac:dyDescent="0.25">
      <c r="A19" s="66" t="s">
        <v>58</v>
      </c>
      <c r="B19" s="83">
        <f>'I-Dados'!B126*(1+'I-Dados'!B158)*'A-Tarifa-P0'!B22/'I-Dados'!B71</f>
        <v>1657745339.0294936</v>
      </c>
      <c r="C19" s="76">
        <v>0</v>
      </c>
      <c r="D19" s="76">
        <v>0</v>
      </c>
      <c r="E19" s="76">
        <v>0</v>
      </c>
      <c r="F19" s="4"/>
      <c r="G19" s="66" t="s">
        <v>58</v>
      </c>
      <c r="H19" s="76">
        <f>'I-Dados'!B124*(1+'I-Dados'!B158)*('A-Tarifa-P0'!H22/('I-Dados'!B66+'I-Dados'!B68))</f>
        <v>490881563.04108667</v>
      </c>
      <c r="I19" s="76">
        <v>0</v>
      </c>
      <c r="J19" s="76">
        <v>0</v>
      </c>
      <c r="K19" s="76">
        <v>0</v>
      </c>
      <c r="L19" s="4"/>
      <c r="M19" s="66" t="s">
        <v>58</v>
      </c>
      <c r="N19" s="83">
        <f>'I-Dados'!B125*(1+'I-Dados'!B158)*('A-Tarifa-P0'!N22/('I-Dados'!B67+'I-Dados'!B69))</f>
        <v>1303891022.645653</v>
      </c>
      <c r="O19" s="76">
        <v>0</v>
      </c>
      <c r="P19" s="76">
        <v>0</v>
      </c>
      <c r="Q19" s="76">
        <v>0</v>
      </c>
      <c r="R19" s="4"/>
      <c r="S19" s="4"/>
    </row>
    <row r="20" spans="1:19" s="2" customFormat="1" x14ac:dyDescent="0.25">
      <c r="A20" s="54" t="s">
        <v>59</v>
      </c>
      <c r="B20" s="78">
        <f>'I-Dados'!B129*(1+'I-Dados'!B158)*'A-Tarifa-P0'!B22/'I-Dados'!B71</f>
        <v>110474654.07010821</v>
      </c>
      <c r="C20" s="77">
        <f>B20*C22/B22</f>
        <v>120324294.21609119</v>
      </c>
      <c r="D20" s="77">
        <f t="shared" ref="D20:E20" si="35">C20*D22/C22</f>
        <v>128402925.83331963</v>
      </c>
      <c r="E20" s="77">
        <f t="shared" si="35"/>
        <v>135963641.92653039</v>
      </c>
      <c r="F20" s="4"/>
      <c r="G20" s="54" t="s">
        <v>59</v>
      </c>
      <c r="H20" s="76">
        <f>'I-Dados'!B127*(1+'I-Dados'!B158)*'A-Tarifa-P0'!H22/('I-Dados'!B66+'I-Dados'!B68)</f>
        <v>85129944.057785824</v>
      </c>
      <c r="I20" s="76">
        <f>H20*I22/H22</f>
        <v>78933156.759847611</v>
      </c>
      <c r="J20" s="76">
        <f t="shared" ref="J20:K20" si="36">I20*J22/I22</f>
        <v>71654784.1565779</v>
      </c>
      <c r="K20" s="76">
        <f t="shared" si="36"/>
        <v>84421811.008052737</v>
      </c>
      <c r="L20" s="4"/>
      <c r="M20" s="54" t="s">
        <v>59</v>
      </c>
      <c r="N20" s="78">
        <f>'I-Dados'!B128*(1+'I-Dados'!B158)*('A-Tarifa-P0'!N22/('I-Dados'!B67+'I-Dados'!B69))</f>
        <v>14636276.4452346</v>
      </c>
      <c r="O20" s="77">
        <f>N20*O22/N22</f>
        <v>18453086.345087297</v>
      </c>
      <c r="P20" s="77">
        <f t="shared" ref="P20:Q20" si="37">O20*P22/O22</f>
        <v>21983679.652211931</v>
      </c>
      <c r="Q20" s="77">
        <f t="shared" si="37"/>
        <v>21720774.133232716</v>
      </c>
      <c r="R20" s="4"/>
      <c r="S20" s="4"/>
    </row>
    <row r="21" spans="1:19" s="2" customFormat="1" x14ac:dyDescent="0.25">
      <c r="A21" s="54" t="s">
        <v>60</v>
      </c>
      <c r="B21" s="78">
        <f>('I-Dados'!B143+'I-Dados'!B144)*'A-Tarifa-P0'!B4/'I-Dados'!B5</f>
        <v>273521061.11643261</v>
      </c>
      <c r="C21" s="77">
        <f>B21*C4/B4</f>
        <v>286151079.65351754</v>
      </c>
      <c r="D21" s="77">
        <f>C21*D4/C4</f>
        <v>291213321.57716852</v>
      </c>
      <c r="E21" s="77">
        <f>D21*E4/D4</f>
        <v>296412587.61456519</v>
      </c>
      <c r="F21" s="4"/>
      <c r="G21" s="54" t="s">
        <v>60</v>
      </c>
      <c r="H21" s="76">
        <f>'I-Dados'!B143*'A-Tarifa-P0'!H4/'I-Dados'!B3</f>
        <v>170576853.1407755</v>
      </c>
      <c r="I21" s="76">
        <f>H21*I4/H4</f>
        <v>177258178.39888614</v>
      </c>
      <c r="J21" s="76">
        <f>I21*J4/I4</f>
        <v>179012326.40127218</v>
      </c>
      <c r="K21" s="76">
        <f>J21*K4/J4</f>
        <v>181508953.44890106</v>
      </c>
      <c r="L21" s="4"/>
      <c r="M21" s="54" t="s">
        <v>60</v>
      </c>
      <c r="N21" s="79">
        <f>'I-Dados'!B144*'A-Tarifa-P0'!N4/'I-Dados'!B4</f>
        <v>102638511.34202182</v>
      </c>
      <c r="O21" s="79">
        <f t="shared" ref="O21" si="38">N21*O$4/N$4</f>
        <v>108312067.99692594</v>
      </c>
      <c r="P21" s="79">
        <f t="shared" ref="P21" si="39">O21*P$4/O$4</f>
        <v>111308131.42499332</v>
      </c>
      <c r="Q21" s="79">
        <f t="shared" ref="Q21" si="40">P21*Q$4/P$4</f>
        <v>113842078.32435389</v>
      </c>
      <c r="R21" s="4"/>
      <c r="S21" s="4"/>
    </row>
    <row r="22" spans="1:19" s="2" customFormat="1" x14ac:dyDescent="0.25">
      <c r="A22" s="65" t="s">
        <v>61</v>
      </c>
      <c r="B22" s="79">
        <f>'I-Dados'!C71</f>
        <v>1194942000</v>
      </c>
      <c r="C22" s="79">
        <f>'I-Dados'!D71</f>
        <v>1301480000</v>
      </c>
      <c r="D22" s="79">
        <f>'I-Dados'!E71</f>
        <v>1388862000</v>
      </c>
      <c r="E22" s="79">
        <f>'I-Dados'!F71</f>
        <v>1470642000</v>
      </c>
      <c r="F22" s="4"/>
      <c r="G22" s="65" t="s">
        <v>61</v>
      </c>
      <c r="H22" s="76">
        <f>'I-Dados'!C66+'I-Dados'!C68</f>
        <v>614792000</v>
      </c>
      <c r="I22" s="76">
        <f>'I-Dados'!D66+'I-Dados'!D68</f>
        <v>570040000</v>
      </c>
      <c r="J22" s="76">
        <f>'I-Dados'!E66+'I-Dados'!E68</f>
        <v>517477000</v>
      </c>
      <c r="K22" s="76">
        <f>'I-Dados'!F66+'I-Dados'!F68</f>
        <v>609678000</v>
      </c>
      <c r="L22" s="4"/>
      <c r="M22" s="65" t="s">
        <v>61</v>
      </c>
      <c r="N22" s="79">
        <f>'I-Dados'!C67+'I-Dados'!C69</f>
        <v>580150000</v>
      </c>
      <c r="O22" s="79">
        <f>'I-Dados'!D67+'I-Dados'!D69</f>
        <v>731440000</v>
      </c>
      <c r="P22" s="79">
        <f>'I-Dados'!E67+'I-Dados'!E69</f>
        <v>871385000</v>
      </c>
      <c r="Q22" s="79">
        <f>'I-Dados'!F67+'I-Dados'!F69</f>
        <v>860964000</v>
      </c>
      <c r="R22" s="4"/>
      <c r="S22" s="4"/>
    </row>
    <row r="23" spans="1:19" s="2" customFormat="1" x14ac:dyDescent="0.25">
      <c r="A23" s="67" t="s">
        <v>62</v>
      </c>
      <c r="B23" s="80">
        <f>'I-Dados'!B120+'I-Dados'!B121+'I-Dados'!B122</f>
        <v>9338204068.8700008</v>
      </c>
      <c r="C23" s="81">
        <f>B23+B24-B17</f>
        <v>9939087611.3622208</v>
      </c>
      <c r="D23" s="81">
        <f t="shared" ref="D23:E23" si="41">C23+C24-C17</f>
        <v>10572424639.854441</v>
      </c>
      <c r="E23" s="81">
        <f t="shared" si="41"/>
        <v>11240736114.346661</v>
      </c>
      <c r="F23" s="4"/>
      <c r="G23" s="67" t="s">
        <v>62</v>
      </c>
      <c r="H23" s="80">
        <f>'I-Dados'!B120+'I-Dados'!B122*'I-Dados'!B120/('I-Dados'!B120+'I-Dados'!B121)</f>
        <v>5905377018.6290817</v>
      </c>
      <c r="I23" s="81">
        <f>H23+H24-H17</f>
        <v>6267364891.7385349</v>
      </c>
      <c r="J23" s="81">
        <f t="shared" ref="J23:K23" si="42">I23+I24-I17</f>
        <v>6645762688.0479889</v>
      </c>
      <c r="K23" s="81">
        <f t="shared" si="42"/>
        <v>7039222594.8074427</v>
      </c>
      <c r="L23" s="4"/>
      <c r="M23" s="67" t="s">
        <v>62</v>
      </c>
      <c r="N23" s="81">
        <f>'I-Dados'!B121+'I-Dados'!B122*'I-Dados'!B121/('I-Dados'!B121+'I-Dados'!B120)</f>
        <v>3432827050.2409186</v>
      </c>
      <c r="O23" s="81">
        <f>N23+N24-N17</f>
        <v>3670840254.074121</v>
      </c>
      <c r="P23" s="81">
        <f t="shared" ref="P23:Q23" si="43">O23+O24-O17</f>
        <v>3924395799.4073234</v>
      </c>
      <c r="Q23" s="81">
        <f t="shared" si="43"/>
        <v>4196944820.9905257</v>
      </c>
      <c r="R23" s="4"/>
      <c r="S23" s="4"/>
    </row>
    <row r="24" spans="1:19" s="2" customFormat="1" x14ac:dyDescent="0.25">
      <c r="A24" s="67" t="s">
        <v>63</v>
      </c>
      <c r="B24" s="80">
        <f>B12*B28</f>
        <v>620962518.39414012</v>
      </c>
      <c r="C24" s="80">
        <f t="shared" ref="C24:E24" si="44">C12*C28</f>
        <v>653416004.39414012</v>
      </c>
      <c r="D24" s="80">
        <f t="shared" si="44"/>
        <v>688390450.39414012</v>
      </c>
      <c r="E24" s="80">
        <f t="shared" si="44"/>
        <v>725564002.39414012</v>
      </c>
      <c r="F24" s="4"/>
      <c r="G24" s="67" t="s">
        <v>63</v>
      </c>
      <c r="H24" s="80">
        <f>H12*H28</f>
        <v>374241669.98832828</v>
      </c>
      <c r="I24" s="80">
        <f t="shared" ref="I24:K24" si="45">I12*I28</f>
        <v>390651593.18832833</v>
      </c>
      <c r="J24" s="80">
        <f t="shared" si="45"/>
        <v>405713703.63832831</v>
      </c>
      <c r="K24" s="80">
        <f t="shared" si="45"/>
        <v>421324800.38832831</v>
      </c>
      <c r="L24" s="4"/>
      <c r="M24" s="67" t="s">
        <v>63</v>
      </c>
      <c r="N24" s="80">
        <f>N12*N28</f>
        <v>245831667.11158159</v>
      </c>
      <c r="O24" s="80">
        <f t="shared" ref="O24:Q24" si="46">O12*O28</f>
        <v>261374008.61158159</v>
      </c>
      <c r="P24" s="80">
        <f t="shared" si="46"/>
        <v>280367484.86158162</v>
      </c>
      <c r="Q24" s="80">
        <f t="shared" si="46"/>
        <v>300895820.5115816</v>
      </c>
      <c r="R24" s="4"/>
      <c r="S24" s="4"/>
    </row>
    <row r="25" spans="1:19" s="2" customFormat="1" x14ac:dyDescent="0.25">
      <c r="A25" s="56" t="s">
        <v>43</v>
      </c>
      <c r="B25" s="85">
        <f>B11-B14-B15-B18</f>
        <v>22267768202.759495</v>
      </c>
      <c r="C25" s="85">
        <f>C11-C14-C15-C18</f>
        <v>23431552943.726437</v>
      </c>
      <c r="D25" s="85">
        <f t="shared" ref="D25:E25" si="47">D11-D14-D15-D18</f>
        <v>24685739522.591091</v>
      </c>
      <c r="E25" s="85">
        <f t="shared" si="47"/>
        <v>26018786227.809166</v>
      </c>
      <c r="F25" s="4"/>
      <c r="G25" s="56" t="s">
        <v>43</v>
      </c>
      <c r="H25" s="85">
        <f>H11-H14-H15-H18</f>
        <v>12300605623.423815</v>
      </c>
      <c r="I25" s="85">
        <f t="shared" ref="I25:K25" si="48">I11-I14-I15-I18</f>
        <v>12839968312.779516</v>
      </c>
      <c r="J25" s="85">
        <f t="shared" si="48"/>
        <v>13335030983.132816</v>
      </c>
      <c r="K25" s="85">
        <f t="shared" si="48"/>
        <v>13848137779.810087</v>
      </c>
      <c r="L25" s="4"/>
      <c r="M25" s="56" t="s">
        <v>43</v>
      </c>
      <c r="N25" s="85">
        <f>N11-N14-N15-N18</f>
        <v>9966977420.4788418</v>
      </c>
      <c r="O25" s="85">
        <f t="shared" ref="O25:Q25" si="49">O11-O14-O15-O18</f>
        <v>10597124742.880384</v>
      </c>
      <c r="P25" s="85">
        <f t="shared" si="49"/>
        <v>11367194568.075956</v>
      </c>
      <c r="Q25" s="85">
        <f t="shared" si="49"/>
        <v>12199493597.357206</v>
      </c>
      <c r="R25" s="4"/>
      <c r="S25" s="4"/>
    </row>
    <row r="26" spans="1:19" s="2" customFormat="1" x14ac:dyDescent="0.25">
      <c r="A26" s="44" t="s">
        <v>44</v>
      </c>
      <c r="B26" s="86">
        <f>B12-B16-B23+B19+B20+B21</f>
        <v>15814442465.816038</v>
      </c>
      <c r="C26" s="86">
        <f t="shared" ref="C26:E26" si="50">C12-C16-C23+C19+C20+C21</f>
        <v>14826504242.977392</v>
      </c>
      <c r="D26" s="86">
        <f t="shared" si="50"/>
        <v>15551479088.026052</v>
      </c>
      <c r="E26" s="86">
        <f t="shared" si="50"/>
        <v>16325679595.66444</v>
      </c>
      <c r="F26" s="4"/>
      <c r="G26" s="44" t="s">
        <v>44</v>
      </c>
      <c r="H26" s="86">
        <f>H12-H16-H23+H19+H20+H21</f>
        <v>7909365605.4897528</v>
      </c>
      <c r="I26" s="86">
        <f t="shared" ref="I26:K26" si="51">I12-I16-I23+I19+I20+I21</f>
        <v>7649396707.2993851</v>
      </c>
      <c r="J26" s="86">
        <f t="shared" si="51"/>
        <v>7809233186.3890476</v>
      </c>
      <c r="K26" s="86">
        <f t="shared" si="51"/>
        <v>7994614433.528698</v>
      </c>
      <c r="L26" s="4"/>
      <c r="M26" s="44" t="s">
        <v>44</v>
      </c>
      <c r="N26" s="86">
        <f>N12-N16-N23+N19+N20+N21</f>
        <v>8031089976.7828045</v>
      </c>
      <c r="O26" s="86">
        <f t="shared" ref="O26:Q26" si="52">O12-O16-O23+O19+O20+O21</f>
        <v>7154471116.8587065</v>
      </c>
      <c r="P26" s="86">
        <f t="shared" si="52"/>
        <v>7708854728.2606964</v>
      </c>
      <c r="Q26" s="86">
        <f t="shared" si="52"/>
        <v>8304751248.0578756</v>
      </c>
      <c r="R26" s="4"/>
      <c r="S26" s="4"/>
    </row>
    <row r="27" spans="1:19" s="2" customFormat="1" x14ac:dyDescent="0.25">
      <c r="A27" s="55" t="s">
        <v>45</v>
      </c>
      <c r="B27" s="91">
        <f>B25*B28</f>
        <v>578961973.27174687</v>
      </c>
      <c r="C27" s="91">
        <f>C25*C28</f>
        <v>609220376.53688741</v>
      </c>
      <c r="D27" s="91">
        <f t="shared" ref="D27" si="53">D25*D28</f>
        <v>641829227.58736837</v>
      </c>
      <c r="E27" s="91">
        <f t="shared" ref="E27" si="54">E25*E28</f>
        <v>676488441.92303836</v>
      </c>
      <c r="F27" s="4"/>
      <c r="G27" s="55" t="s">
        <v>45</v>
      </c>
      <c r="H27" s="91">
        <f>H25*H28</f>
        <v>340726775.76883966</v>
      </c>
      <c r="I27" s="91">
        <f t="shared" ref="I27:K27" si="55">I25*I28</f>
        <v>355667122.26399261</v>
      </c>
      <c r="J27" s="91">
        <f t="shared" si="55"/>
        <v>369380358.23277903</v>
      </c>
      <c r="K27" s="91">
        <f t="shared" si="55"/>
        <v>383593416.5007394</v>
      </c>
      <c r="L27" s="4"/>
      <c r="M27" s="55" t="s">
        <v>45</v>
      </c>
      <c r="N27" s="72">
        <f>N25*N28</f>
        <v>236217364.86534855</v>
      </c>
      <c r="O27" s="72">
        <f t="shared" ref="O27:Q27" si="56">O25*O28</f>
        <v>251151856.40626511</v>
      </c>
      <c r="P27" s="72">
        <f t="shared" si="56"/>
        <v>269402511.26340014</v>
      </c>
      <c r="Q27" s="72">
        <f t="shared" si="56"/>
        <v>289127998.25736576</v>
      </c>
      <c r="R27" s="4"/>
      <c r="S27" s="4"/>
    </row>
    <row r="28" spans="1:19" s="2" customFormat="1" x14ac:dyDescent="0.25">
      <c r="A28" s="67" t="s">
        <v>64</v>
      </c>
      <c r="B28" s="82">
        <f>'I-Dados'!$B$137</f>
        <v>2.6000000000000002E-2</v>
      </c>
      <c r="C28" s="82">
        <f>'I-Dados'!$B$137</f>
        <v>2.6000000000000002E-2</v>
      </c>
      <c r="D28" s="82">
        <f>'I-Dados'!$B$137</f>
        <v>2.6000000000000002E-2</v>
      </c>
      <c r="E28" s="82">
        <f>'I-Dados'!$B$137</f>
        <v>2.6000000000000002E-2</v>
      </c>
      <c r="F28" s="4"/>
      <c r="G28" s="67" t="s">
        <v>64</v>
      </c>
      <c r="H28" s="82">
        <f>'I-Dados'!$B$131</f>
        <v>2.7699999999999999E-2</v>
      </c>
      <c r="I28" s="82">
        <f>$H$28</f>
        <v>2.7699999999999999E-2</v>
      </c>
      <c r="J28" s="82">
        <f t="shared" ref="J28:K28" si="57">$H$28</f>
        <v>2.7699999999999999E-2</v>
      </c>
      <c r="K28" s="82">
        <f t="shared" si="57"/>
        <v>2.7699999999999999E-2</v>
      </c>
      <c r="L28" s="4"/>
      <c r="M28" s="67" t="s">
        <v>64</v>
      </c>
      <c r="N28" s="82">
        <f>'I-Dados'!B133</f>
        <v>2.3699999999999999E-2</v>
      </c>
      <c r="O28" s="82">
        <f>$N$28</f>
        <v>2.3699999999999999E-2</v>
      </c>
      <c r="P28" s="82">
        <f t="shared" ref="P28:Q28" si="58">$N$28</f>
        <v>2.3699999999999999E-2</v>
      </c>
      <c r="Q28" s="82">
        <f t="shared" si="58"/>
        <v>2.3699999999999999E-2</v>
      </c>
      <c r="R28" s="4"/>
      <c r="S28" s="4"/>
    </row>
    <row r="29" spans="1:19" s="2" customFormat="1" x14ac:dyDescent="0.25">
      <c r="A29" s="68" t="s">
        <v>50</v>
      </c>
      <c r="B29" s="87">
        <f>B26*B30</f>
        <v>1729333244.9134469</v>
      </c>
      <c r="C29" s="87">
        <f t="shared" ref="C29" si="59">C26*C30</f>
        <v>1621300703.3699458</v>
      </c>
      <c r="D29" s="87">
        <f t="shared" ref="D29" si="60">D26*D30</f>
        <v>1700577801.1227517</v>
      </c>
      <c r="E29" s="87">
        <f t="shared" ref="E29" si="61">E26*E30</f>
        <v>1785237799.6640816</v>
      </c>
      <c r="F29" s="4"/>
      <c r="G29" s="68" t="s">
        <v>50</v>
      </c>
      <c r="H29" s="87">
        <f>H26*H30</f>
        <v>864901112.84758544</v>
      </c>
      <c r="I29" s="87">
        <f t="shared" ref="I29" si="62">I26*I30</f>
        <v>836473119.9381988</v>
      </c>
      <c r="J29" s="87">
        <f t="shared" ref="J29" si="63">J26*J30</f>
        <v>853951481.10313678</v>
      </c>
      <c r="K29" s="87">
        <f t="shared" ref="K29" si="64">K26*K30</f>
        <v>874223201.35853505</v>
      </c>
      <c r="L29" s="4"/>
      <c r="M29" s="68" t="s">
        <v>50</v>
      </c>
      <c r="N29" s="87">
        <f>N26*N30</f>
        <v>878211857.27934623</v>
      </c>
      <c r="O29" s="87">
        <f t="shared" ref="O29:Q29" si="65">O26*O30</f>
        <v>782352256.73625231</v>
      </c>
      <c r="P29" s="87">
        <f t="shared" si="65"/>
        <v>842974944.61822867</v>
      </c>
      <c r="Q29" s="87">
        <f t="shared" si="65"/>
        <v>908137131.93156505</v>
      </c>
      <c r="R29" s="4"/>
      <c r="S29" s="4"/>
    </row>
    <row r="30" spans="1:19" s="2" customFormat="1" x14ac:dyDescent="0.25">
      <c r="A30" s="67" t="s">
        <v>65</v>
      </c>
      <c r="B30" s="82">
        <f>'I-Dados'!$B$78</f>
        <v>0.10935151515151514</v>
      </c>
      <c r="C30" s="82">
        <f>'I-Dados'!$B$78</f>
        <v>0.10935151515151514</v>
      </c>
      <c r="D30" s="82">
        <f>'I-Dados'!$B$78</f>
        <v>0.10935151515151514</v>
      </c>
      <c r="E30" s="82">
        <f>'I-Dados'!$B$78</f>
        <v>0.10935151515151514</v>
      </c>
      <c r="F30" s="4"/>
      <c r="G30" s="67" t="s">
        <v>65</v>
      </c>
      <c r="H30" s="82">
        <f>'I-Dados'!$B$78</f>
        <v>0.10935151515151514</v>
      </c>
      <c r="I30" s="82">
        <f>'I-Dados'!$B$78</f>
        <v>0.10935151515151514</v>
      </c>
      <c r="J30" s="82">
        <f>'I-Dados'!$B$78</f>
        <v>0.10935151515151514</v>
      </c>
      <c r="K30" s="82">
        <f>'I-Dados'!$B$78</f>
        <v>0.10935151515151514</v>
      </c>
      <c r="L30" s="4"/>
      <c r="M30" s="67" t="s">
        <v>65</v>
      </c>
      <c r="N30" s="82">
        <f>'I-Dados'!$B$78</f>
        <v>0.10935151515151514</v>
      </c>
      <c r="O30" s="82">
        <f>'I-Dados'!$B$78</f>
        <v>0.10935151515151514</v>
      </c>
      <c r="P30" s="82">
        <f>'I-Dados'!$B$78</f>
        <v>0.10935151515151514</v>
      </c>
      <c r="Q30" s="82">
        <f>'I-Dados'!$B$78</f>
        <v>0.10935151515151514</v>
      </c>
      <c r="R30" s="4"/>
      <c r="S30" s="4"/>
    </row>
    <row r="31" spans="1:19" s="2" customFormat="1" x14ac:dyDescent="0.25">
      <c r="A31" s="68" t="s">
        <v>46</v>
      </c>
      <c r="B31" s="88">
        <f>B32*B33</f>
        <v>27253106.041484062</v>
      </c>
      <c r="C31" s="88">
        <f t="shared" ref="C31" si="66">C32*C33</f>
        <v>27454558.92896447</v>
      </c>
      <c r="D31" s="88">
        <f t="shared" ref="D31" si="67">D32*D33</f>
        <v>28355485.365128197</v>
      </c>
      <c r="E31" s="88">
        <f t="shared" ref="E31" si="68">E32*E33</f>
        <v>29306051.220818315</v>
      </c>
      <c r="F31" s="4"/>
      <c r="G31" s="68" t="s">
        <v>46</v>
      </c>
      <c r="H31" s="88">
        <f>H32*H33</f>
        <v>16605775.886460187</v>
      </c>
      <c r="I31" s="88">
        <f t="shared" ref="I31" si="69">I32*I33</f>
        <v>16908140.617646642</v>
      </c>
      <c r="J31" s="88">
        <f t="shared" ref="J31" si="70">J32*J33</f>
        <v>17186654.107086964</v>
      </c>
      <c r="K31" s="88">
        <f t="shared" ref="K31" si="71">K32*K33</f>
        <v>17526242.246293761</v>
      </c>
      <c r="L31" s="4"/>
      <c r="M31" s="68" t="s">
        <v>46</v>
      </c>
      <c r="N31" s="88">
        <f>N32*N33</f>
        <v>10680964.098929867</v>
      </c>
      <c r="O31" s="88">
        <f t="shared" ref="O31:Q31" si="72">O32*O33</f>
        <v>10454239.583576363</v>
      </c>
      <c r="P31" s="88">
        <f t="shared" si="72"/>
        <v>11031712.842952745</v>
      </c>
      <c r="Q31" s="88">
        <f t="shared" si="72"/>
        <v>11624344.434831759</v>
      </c>
      <c r="R31" s="4"/>
      <c r="S31" s="4"/>
    </row>
    <row r="32" spans="1:19" s="2" customFormat="1" x14ac:dyDescent="0.25">
      <c r="A32" s="67" t="s">
        <v>66</v>
      </c>
      <c r="B32" s="80">
        <f>(B7+B27+B29+B35)/(1-B33-B34)</f>
        <v>5142095479.5252943</v>
      </c>
      <c r="C32" s="80">
        <f t="shared" ref="C32" si="73">(C7+C27+C29+C35)/(1-C33-C34)</f>
        <v>5180105458.2951832</v>
      </c>
      <c r="D32" s="80">
        <f t="shared" ref="D32" si="74">(D7+D27+D29+D35)/(1-D33-D34)</f>
        <v>5350091578.3260746</v>
      </c>
      <c r="E32" s="80">
        <f t="shared" ref="E32" si="75">(E7+E27+E29+E35)/(1-E33-E34)</f>
        <v>5529443626.5694933</v>
      </c>
      <c r="F32" s="4"/>
      <c r="G32" s="67" t="s">
        <v>66</v>
      </c>
      <c r="H32" s="80">
        <f>(H7+H27+H29+H35)/(1-H33-H34)</f>
        <v>3133165261.5962615</v>
      </c>
      <c r="I32" s="80">
        <f t="shared" ref="I32" si="76">(I7+I27+I29+I35)/(1-I33-I34)</f>
        <v>3190215210.8767247</v>
      </c>
      <c r="J32" s="80">
        <f t="shared" ref="J32" si="77">(J7+J27+J29+J35)/(1-J33-J34)</f>
        <v>3242764925.8654652</v>
      </c>
      <c r="K32" s="80">
        <f t="shared" ref="K32" si="78">(K7+K27+K29+K35)/(1-K33-K34)</f>
        <v>3306838159.6780682</v>
      </c>
      <c r="L32" s="4"/>
      <c r="M32" s="67" t="s">
        <v>66</v>
      </c>
      <c r="N32" s="80">
        <f>(N7+N27+N29+N35)/(1-N33-N34)</f>
        <v>2015276245.0811071</v>
      </c>
      <c r="O32" s="80">
        <f t="shared" ref="O32:Q32" si="79">(O7+O27+O29+O35)/(1-O33-O34)</f>
        <v>1972498034.6370497</v>
      </c>
      <c r="P32" s="80">
        <f t="shared" si="79"/>
        <v>2081455253.3873105</v>
      </c>
      <c r="Q32" s="80">
        <f t="shared" si="79"/>
        <v>2193272534.8739166</v>
      </c>
      <c r="R32" s="4"/>
      <c r="S32" s="4"/>
    </row>
    <row r="33" spans="1:19" s="2" customFormat="1" x14ac:dyDescent="0.25">
      <c r="A33" s="67" t="s">
        <v>67</v>
      </c>
      <c r="B33" s="82">
        <f>'I-Dados'!B95</f>
        <v>5.3E-3</v>
      </c>
      <c r="C33" s="82">
        <f>$B$33</f>
        <v>5.3E-3</v>
      </c>
      <c r="D33" s="82">
        <f t="shared" ref="D33:E33" si="80">$B$33</f>
        <v>5.3E-3</v>
      </c>
      <c r="E33" s="82">
        <f t="shared" si="80"/>
        <v>5.3E-3</v>
      </c>
      <c r="F33" s="4"/>
      <c r="G33" s="67" t="s">
        <v>67</v>
      </c>
      <c r="H33" s="82">
        <f>'I-Dados'!B93</f>
        <v>5.3E-3</v>
      </c>
      <c r="I33" s="82">
        <f>$H$33</f>
        <v>5.3E-3</v>
      </c>
      <c r="J33" s="82">
        <f t="shared" ref="J33:K33" si="81">$H$33</f>
        <v>5.3E-3</v>
      </c>
      <c r="K33" s="82">
        <f t="shared" si="81"/>
        <v>5.3E-3</v>
      </c>
      <c r="L33" s="4"/>
      <c r="M33" s="67" t="s">
        <v>67</v>
      </c>
      <c r="N33" s="82">
        <f>'I-Dados'!B94</f>
        <v>5.3E-3</v>
      </c>
      <c r="O33" s="82">
        <f>$N$33</f>
        <v>5.3E-3</v>
      </c>
      <c r="P33" s="82">
        <f t="shared" ref="P33:Q33" si="82">$N$33</f>
        <v>5.3E-3</v>
      </c>
      <c r="Q33" s="82">
        <f t="shared" si="82"/>
        <v>5.3E-3</v>
      </c>
      <c r="R33" s="4"/>
      <c r="S33" s="4"/>
    </row>
    <row r="34" spans="1:19" s="2" customFormat="1" x14ac:dyDescent="0.25">
      <c r="A34" s="67" t="s">
        <v>68</v>
      </c>
      <c r="B34" s="144">
        <f>'I-Dados'!B87</f>
        <v>7.0258000000000001E-2</v>
      </c>
      <c r="C34" s="144">
        <f>$B$34</f>
        <v>7.0258000000000001E-2</v>
      </c>
      <c r="D34" s="144">
        <f t="shared" ref="D34:E34" si="83">$B$34</f>
        <v>7.0258000000000001E-2</v>
      </c>
      <c r="E34" s="144">
        <f t="shared" si="83"/>
        <v>7.0258000000000001E-2</v>
      </c>
      <c r="F34" s="4"/>
      <c r="G34" s="67" t="s">
        <v>68</v>
      </c>
      <c r="H34" s="144">
        <f>'I-Dados'!B87</f>
        <v>7.0258000000000001E-2</v>
      </c>
      <c r="I34" s="144">
        <f>$H$34</f>
        <v>7.0258000000000001E-2</v>
      </c>
      <c r="J34" s="144">
        <f t="shared" ref="J34:K34" si="84">$H$34</f>
        <v>7.0258000000000001E-2</v>
      </c>
      <c r="K34" s="144">
        <f t="shared" si="84"/>
        <v>7.0258000000000001E-2</v>
      </c>
      <c r="L34" s="4"/>
      <c r="M34" s="67" t="s">
        <v>68</v>
      </c>
      <c r="N34" s="144">
        <f>'I-Dados'!B87</f>
        <v>7.0258000000000001E-2</v>
      </c>
      <c r="O34" s="144">
        <f>$N$34</f>
        <v>7.0258000000000001E-2</v>
      </c>
      <c r="P34" s="144">
        <f t="shared" ref="P34:Q34" si="85">$N$34</f>
        <v>7.0258000000000001E-2</v>
      </c>
      <c r="Q34" s="144">
        <f t="shared" si="85"/>
        <v>7.0258000000000001E-2</v>
      </c>
      <c r="R34" s="4"/>
      <c r="S34" s="4"/>
    </row>
    <row r="35" spans="1:19" s="2" customFormat="1" x14ac:dyDescent="0.25">
      <c r="A35" s="67" t="s">
        <v>69</v>
      </c>
      <c r="B35" s="80">
        <f>'I-Dados'!B47*B4/'I-Dados'!B5</f>
        <v>717488339.72108662</v>
      </c>
      <c r="C35" s="81">
        <f>B35*C4/B4</f>
        <v>750618845.26179945</v>
      </c>
      <c r="D35" s="81">
        <f>C35*D4/C4</f>
        <v>763897894.18856823</v>
      </c>
      <c r="E35" s="81">
        <f>D35*E4/D4</f>
        <v>777536378.70494699</v>
      </c>
      <c r="F35" s="4"/>
      <c r="G35" s="67" t="s">
        <v>69</v>
      </c>
      <c r="H35" s="133">
        <f>('I-Dados'!B41+'I-Dados'!B42+'I-Dados'!B43)*H4/'I-Dados'!B3</f>
        <v>605989613.71697903</v>
      </c>
      <c r="I35" s="81">
        <f>H35*I4/H4</f>
        <v>629725622.66385829</v>
      </c>
      <c r="J35" s="81">
        <f>I35*J4/I4</f>
        <v>635957391.22328329</v>
      </c>
      <c r="K35" s="81">
        <f>J35*K4/J4</f>
        <v>644826883.37494934</v>
      </c>
      <c r="L35" s="4"/>
      <c r="M35" s="67" t="s">
        <v>69</v>
      </c>
      <c r="N35" s="133">
        <f>('I-Dados'!B44+'I-Dados'!B45+'I-Dados'!B46)*N4/'I-Dados'!B4</f>
        <v>107673741.14475782</v>
      </c>
      <c r="O35" s="81">
        <f>N35*O4/N4</f>
        <v>113625630.57342057</v>
      </c>
      <c r="P35" s="81">
        <f>O35*P4/O4</f>
        <v>116768674.58086935</v>
      </c>
      <c r="Q35" s="81">
        <f>P35*Q4/P4</f>
        <v>119426931.59326044</v>
      </c>
      <c r="R35" s="4"/>
      <c r="S35" s="4"/>
    </row>
    <row r="36" spans="1:19" s="2" customFormat="1" x14ac:dyDescent="0.25">
      <c r="A36" s="70" t="s">
        <v>92</v>
      </c>
      <c r="B36" s="63">
        <f>B7+B29+B27+B31</f>
        <v>4063333795.6037188</v>
      </c>
      <c r="C36" s="63">
        <f>C7+C29+C27+C31</f>
        <v>4065542763.7444801</v>
      </c>
      <c r="D36" s="63">
        <f>D7+D29+D27+D31</f>
        <v>4210306950.0274734</v>
      </c>
      <c r="E36" s="63">
        <f>E7+E29+E27+E31</f>
        <v>4363419597.5490284</v>
      </c>
      <c r="F36" s="4"/>
      <c r="G36" s="121" t="s">
        <v>82</v>
      </c>
      <c r="H36" s="63">
        <f>H7+H29+H27+H31</f>
        <v>2307045722.9300523</v>
      </c>
      <c r="I36" s="63">
        <f>I7+I29+I27+I31</f>
        <v>2336351447.9270892</v>
      </c>
      <c r="J36" s="63">
        <f>J7+J29+J27+J31</f>
        <v>2378977356.4807262</v>
      </c>
      <c r="K36" s="63">
        <f>K7+K29+K27+K31</f>
        <v>2429679440.8804569</v>
      </c>
      <c r="L36" s="4"/>
      <c r="M36" s="121" t="s">
        <v>88</v>
      </c>
      <c r="N36" s="63">
        <f>N7+N29+N27+N31</f>
        <v>1766013225.5094409</v>
      </c>
      <c r="O36" s="63">
        <f>O7+O29+O27+O31</f>
        <v>1720288637.1460991</v>
      </c>
      <c r="P36" s="63">
        <f>P7+P29+P27+P31</f>
        <v>1818447695.6139553</v>
      </c>
      <c r="Q36" s="63">
        <f>Q7+Q29+Q27+Q31</f>
        <v>1919750661.5254846</v>
      </c>
      <c r="R36" s="4"/>
      <c r="S36" s="4"/>
    </row>
    <row r="37" spans="1:19" s="2" customFormat="1" x14ac:dyDescent="0.25">
      <c r="A37" s="169" t="s">
        <v>75</v>
      </c>
      <c r="B37" s="4"/>
      <c r="C37" s="4"/>
      <c r="D37" s="4"/>
      <c r="E37" s="4"/>
      <c r="F37" s="4"/>
      <c r="G37" s="130" t="s">
        <v>75</v>
      </c>
      <c r="H37" s="115"/>
      <c r="I37" s="4"/>
      <c r="J37" s="4"/>
      <c r="K37" s="4"/>
      <c r="L37" s="4"/>
      <c r="M37" s="130" t="s">
        <v>75</v>
      </c>
      <c r="N37" s="115"/>
      <c r="O37" s="4"/>
      <c r="P37" s="4"/>
      <c r="Q37" s="4"/>
      <c r="R37" s="4"/>
      <c r="S37" s="4"/>
    </row>
    <row r="38" spans="1:19" s="2" customFormat="1" x14ac:dyDescent="0.25">
      <c r="A38" s="4"/>
      <c r="B38" s="4"/>
      <c r="C38" s="4"/>
      <c r="D38" s="4"/>
      <c r="E38" s="4"/>
      <c r="F38" s="4"/>
      <c r="G38" s="153"/>
      <c r="H38" s="150"/>
      <c r="I38" s="4"/>
      <c r="J38" s="4"/>
      <c r="K38" s="4"/>
      <c r="L38" s="4"/>
      <c r="M38" s="153"/>
      <c r="N38" s="150"/>
      <c r="O38" s="4"/>
      <c r="P38" s="4"/>
      <c r="Q38" s="4"/>
      <c r="R38" s="4"/>
      <c r="S38" s="4"/>
    </row>
    <row r="39" spans="1:19" s="2" customFormat="1" x14ac:dyDescent="0.25">
      <c r="A39" s="3" t="s">
        <v>271</v>
      </c>
      <c r="B39" s="4"/>
      <c r="C39" s="4"/>
      <c r="D39" s="4"/>
      <c r="E39" s="4"/>
      <c r="F39" s="4"/>
      <c r="G39" s="153"/>
      <c r="H39" s="150"/>
      <c r="I39" s="4"/>
      <c r="J39" s="4"/>
      <c r="K39" s="4"/>
      <c r="L39" s="4"/>
      <c r="M39" s="153"/>
      <c r="N39" s="150"/>
      <c r="O39" s="4"/>
      <c r="P39" s="4"/>
      <c r="Q39" s="4"/>
      <c r="R39" s="4"/>
      <c r="S39" s="4"/>
    </row>
    <row r="40" spans="1:19" s="2" customFormat="1" x14ac:dyDescent="0.25">
      <c r="A40" s="171" t="s">
        <v>270</v>
      </c>
      <c r="B40" s="62">
        <v>2021</v>
      </c>
      <c r="C40" s="62">
        <v>2022</v>
      </c>
      <c r="D40" s="62">
        <v>2023</v>
      </c>
      <c r="E40" s="62">
        <v>2024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5">
      <c r="A41" s="68" t="s">
        <v>199</v>
      </c>
      <c r="B41" s="88">
        <f>SUM(B42:B44)</f>
        <v>1528969375.4332163</v>
      </c>
      <c r="C41" s="88"/>
      <c r="D41" s="88"/>
      <c r="E41" s="88"/>
      <c r="F41" s="4"/>
      <c r="G41" s="3" t="s">
        <v>83</v>
      </c>
      <c r="H41" s="4"/>
      <c r="I41" s="4"/>
      <c r="J41" s="4"/>
      <c r="K41" s="4"/>
      <c r="L41" s="4"/>
      <c r="M41" s="3" t="s">
        <v>89</v>
      </c>
      <c r="N41" s="4"/>
      <c r="O41" s="4"/>
      <c r="P41" s="4"/>
      <c r="Q41" s="4"/>
      <c r="R41" s="4"/>
      <c r="S41" s="4"/>
    </row>
    <row r="42" spans="1:19" s="2" customFormat="1" x14ac:dyDescent="0.25">
      <c r="A42" s="67" t="s">
        <v>220</v>
      </c>
      <c r="B42" s="172">
        <f>'I-Dados'!B165-'I-Dados'!B164</f>
        <v>-167309411.00999999</v>
      </c>
      <c r="C42" s="172"/>
      <c r="D42" s="172"/>
      <c r="E42" s="172"/>
      <c r="F42" s="4"/>
      <c r="G42" s="53" t="s">
        <v>84</v>
      </c>
      <c r="H42" s="53" t="s">
        <v>70</v>
      </c>
      <c r="I42" s="4"/>
      <c r="J42" s="4"/>
      <c r="K42" s="4"/>
      <c r="L42" s="4"/>
      <c r="M42" s="53" t="s">
        <v>90</v>
      </c>
      <c r="N42" s="53" t="s">
        <v>70</v>
      </c>
      <c r="O42" s="4"/>
      <c r="P42" s="4"/>
      <c r="Q42" s="4"/>
      <c r="R42" s="4"/>
      <c r="S42" s="4"/>
    </row>
    <row r="43" spans="1:19" s="2" customFormat="1" x14ac:dyDescent="0.25">
      <c r="A43" s="67" t="s">
        <v>221</v>
      </c>
      <c r="B43" s="172">
        <f>'I-Dados'!B162</f>
        <v>1708762658.6800001</v>
      </c>
      <c r="C43" s="172"/>
      <c r="D43" s="172"/>
      <c r="E43" s="172"/>
      <c r="F43" s="4"/>
      <c r="G43" s="49" t="s">
        <v>47</v>
      </c>
      <c r="H43" s="89">
        <f>NPV('I-Dados'!$B$77,'A-Tarifa-P0'!H6:K6)</f>
        <v>7952942419.501915</v>
      </c>
      <c r="I43" s="4"/>
      <c r="J43" s="4"/>
      <c r="K43" s="4"/>
      <c r="L43" s="4"/>
      <c r="M43" s="49" t="s">
        <v>47</v>
      </c>
      <c r="N43" s="89">
        <f>NPV('I-Dados'!$B$77,'A-Tarifa-P0'!N6:Q6)</f>
        <v>6071750182.2503052</v>
      </c>
      <c r="O43" s="4"/>
      <c r="P43" s="4"/>
      <c r="Q43" s="4"/>
      <c r="R43" s="4"/>
      <c r="S43" s="4"/>
    </row>
    <row r="44" spans="1:19" s="2" customFormat="1" x14ac:dyDescent="0.25">
      <c r="A44" s="67" t="s">
        <v>222</v>
      </c>
      <c r="B44" s="172">
        <f>-'I-Dados'!B163</f>
        <v>-12483872.236783817</v>
      </c>
      <c r="C44" s="172"/>
      <c r="D44" s="172"/>
      <c r="E44" s="172"/>
      <c r="F44" s="16"/>
      <c r="G44" s="49" t="s">
        <v>48</v>
      </c>
      <c r="H44" s="89">
        <f>NPV('I-Dados'!$B$77,'A-Tarifa-P0'!H36:K36)</f>
        <v>7952942419.5006275</v>
      </c>
      <c r="I44" s="4"/>
      <c r="J44" s="4"/>
      <c r="K44" s="4"/>
      <c r="L44" s="4"/>
      <c r="M44" s="49" t="s">
        <v>48</v>
      </c>
      <c r="N44" s="89">
        <f>NPV('I-Dados'!$B$77,'A-Tarifa-P0'!N36:Q36)</f>
        <v>6071750182.2487783</v>
      </c>
      <c r="O44" s="4"/>
      <c r="P44" s="4"/>
      <c r="Q44" s="4"/>
      <c r="R44" s="4"/>
      <c r="S44" s="4"/>
    </row>
    <row r="45" spans="1:19" s="2" customFormat="1" x14ac:dyDescent="0.25">
      <c r="A45" s="68" t="s">
        <v>211</v>
      </c>
      <c r="B45" s="123">
        <f>SUM(B46:B48)</f>
        <v>0.40443459329895748</v>
      </c>
      <c r="C45" s="123">
        <f>SUM(C46:C48)</f>
        <v>0.40443459329895748</v>
      </c>
      <c r="D45" s="123">
        <f>SUM(D46:D48)</f>
        <v>0.40443459329895748</v>
      </c>
      <c r="E45" s="123">
        <f>SUM(E46:E48)</f>
        <v>0.40443459329895748</v>
      </c>
      <c r="F45" s="16"/>
      <c r="G45" s="109" t="s">
        <v>49</v>
      </c>
      <c r="H45" s="110">
        <f>ROUND(H43-H44,2)</f>
        <v>0</v>
      </c>
      <c r="I45" s="111"/>
      <c r="J45" s="111"/>
      <c r="K45" s="111"/>
      <c r="L45" s="111"/>
      <c r="M45" s="109" t="s">
        <v>49</v>
      </c>
      <c r="N45" s="110">
        <f>ROUND(N43-N44,2)</f>
        <v>0</v>
      </c>
      <c r="O45" s="111"/>
      <c r="P45" s="111"/>
      <c r="Q45" s="111"/>
      <c r="R45" s="4"/>
      <c r="S45" s="4"/>
    </row>
    <row r="46" spans="1:19" s="2" customFormat="1" x14ac:dyDescent="0.25">
      <c r="A46" s="67" t="s">
        <v>220</v>
      </c>
      <c r="B46" s="173">
        <f>B67</f>
        <v>-5.0826225188480061E-2</v>
      </c>
      <c r="C46" s="173">
        <f>$B$46</f>
        <v>-5.0826225188480061E-2</v>
      </c>
      <c r="D46" s="173">
        <f>$B$46</f>
        <v>-5.0826225188480061E-2</v>
      </c>
      <c r="E46" s="173">
        <f>$B$46</f>
        <v>-5.0826225188480061E-2</v>
      </c>
      <c r="F46" s="16"/>
      <c r="G46" s="44" t="s">
        <v>76</v>
      </c>
      <c r="H46" s="90">
        <v>4.1495426837885478</v>
      </c>
      <c r="I46" s="4"/>
      <c r="J46" s="4"/>
      <c r="K46" s="4"/>
      <c r="L46" s="4"/>
      <c r="M46" s="44" t="s">
        <v>77</v>
      </c>
      <c r="N46" s="90">
        <v>4.1007292702717262</v>
      </c>
      <c r="O46" s="4"/>
      <c r="P46" s="4"/>
      <c r="Q46" s="4"/>
      <c r="R46" s="4"/>
      <c r="S46" s="4"/>
    </row>
    <row r="47" spans="1:19" s="2" customFormat="1" x14ac:dyDescent="0.25">
      <c r="A47" s="67" t="s">
        <v>221</v>
      </c>
      <c r="B47" s="173">
        <f>B71</f>
        <v>0.4587722090690004</v>
      </c>
      <c r="C47" s="173">
        <f>$B$47</f>
        <v>0.4587722090690004</v>
      </c>
      <c r="D47" s="173">
        <f>$B$47</f>
        <v>0.4587722090690004</v>
      </c>
      <c r="E47" s="173">
        <f>$B$47</f>
        <v>0.4587722090690004</v>
      </c>
      <c r="F47" s="16"/>
      <c r="G47" s="130" t="s">
        <v>75</v>
      </c>
      <c r="H47" s="115"/>
      <c r="I47" s="4"/>
      <c r="J47" s="4"/>
      <c r="K47" s="4"/>
      <c r="L47" s="4"/>
      <c r="M47" s="130" t="s">
        <v>75</v>
      </c>
      <c r="N47" s="115"/>
      <c r="O47" s="4"/>
      <c r="P47" s="4"/>
      <c r="Q47" s="4"/>
      <c r="R47" s="4"/>
      <c r="S47" s="4"/>
    </row>
    <row r="48" spans="1:19" s="2" customFormat="1" x14ac:dyDescent="0.25">
      <c r="A48" s="67" t="s">
        <v>222</v>
      </c>
      <c r="B48" s="173">
        <f>B75</f>
        <v>-3.5113905815628513E-3</v>
      </c>
      <c r="C48" s="173">
        <f>$B$48</f>
        <v>-3.5113905815628513E-3</v>
      </c>
      <c r="D48" s="173">
        <f>$B$48</f>
        <v>-3.5113905815628513E-3</v>
      </c>
      <c r="E48" s="173">
        <f>$B$48</f>
        <v>-3.5113905815628513E-3</v>
      </c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5">
      <c r="A49" s="68" t="s">
        <v>212</v>
      </c>
      <c r="B49" s="88">
        <f>SUM(B50:B52)</f>
        <v>377501278.43360156</v>
      </c>
      <c r="C49" s="88">
        <f>SUM(C50:C52)</f>
        <v>394932653.27884626</v>
      </c>
      <c r="D49" s="88">
        <f>SUM(D50:D52)</f>
        <v>401919328.41866291</v>
      </c>
      <c r="E49" s="88">
        <f>SUM(E50:E52)</f>
        <v>409095117.98317522</v>
      </c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5">
      <c r="A50" s="67" t="s">
        <v>220</v>
      </c>
      <c r="B50" s="172">
        <f t="shared" ref="B50:E52" si="86">B46*B$4</f>
        <v>-47441453.586099058</v>
      </c>
      <c r="C50" s="172">
        <f t="shared" si="86"/>
        <v>-49632094.539936341</v>
      </c>
      <c r="D50" s="172">
        <f t="shared" si="86"/>
        <v>-50510126.068046935</v>
      </c>
      <c r="E50" s="172">
        <f t="shared" si="86"/>
        <v>-51411924.040708125</v>
      </c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15" customHeight="1" x14ac:dyDescent="0.25">
      <c r="A51" s="67" t="s">
        <v>221</v>
      </c>
      <c r="B51" s="172">
        <f t="shared" si="86"/>
        <v>428220281.60517788</v>
      </c>
      <c r="C51" s="172">
        <f t="shared" si="86"/>
        <v>447993640.45569384</v>
      </c>
      <c r="D51" s="172">
        <f t="shared" si="86"/>
        <v>455919006.98231977</v>
      </c>
      <c r="E51" s="172">
        <f t="shared" si="86"/>
        <v>464058896.31145072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15" customHeight="1" x14ac:dyDescent="0.25">
      <c r="A52" s="67" t="s">
        <v>222</v>
      </c>
      <c r="B52" s="172">
        <f t="shared" si="86"/>
        <v>-3277549.585477313</v>
      </c>
      <c r="C52" s="172">
        <f t="shared" si="86"/>
        <v>-3428892.6369111929</v>
      </c>
      <c r="D52" s="172">
        <f t="shared" si="86"/>
        <v>-3489552.4956099181</v>
      </c>
      <c r="E52" s="172">
        <f t="shared" si="86"/>
        <v>-3551854.2875673636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15" customHeight="1" x14ac:dyDescent="0.25">
      <c r="A53" s="169" t="s">
        <v>75</v>
      </c>
      <c r="B53" s="17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2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2" customFormat="1" x14ac:dyDescent="0.25">
      <c r="A55" s="3" t="s">
        <v>272</v>
      </c>
      <c r="B55" s="4"/>
      <c r="C55" s="4"/>
      <c r="D55" s="14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2" customFormat="1" x14ac:dyDescent="0.25">
      <c r="A56" s="53" t="s">
        <v>74</v>
      </c>
      <c r="B56" s="53" t="s">
        <v>70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s="2" customFormat="1" x14ac:dyDescent="0.25">
      <c r="A57" s="49" t="s">
        <v>47</v>
      </c>
      <c r="B57" s="89">
        <f>NPV('I-Dados'!$B$77,'A-Tarifa-P0'!B6:E6)</f>
        <v>14044404546.263138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2" customFormat="1" x14ac:dyDescent="0.25">
      <c r="A58" s="49" t="s">
        <v>48</v>
      </c>
      <c r="B58" s="89">
        <f>NPV('I-Dados'!$B$77,'A-Tarifa-P0'!B36:E36)</f>
        <v>14044404546.260422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100" customFormat="1" x14ac:dyDescent="0.25">
      <c r="A59" s="109" t="s">
        <v>49</v>
      </c>
      <c r="B59" s="110">
        <f>ROUND(B57-B58,2)</f>
        <v>0</v>
      </c>
      <c r="C59" s="129"/>
      <c r="D59" s="111"/>
      <c r="E59" s="111"/>
      <c r="F59" s="11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11"/>
      <c r="S59" s="111"/>
    </row>
    <row r="60" spans="1:19" s="2" customFormat="1" x14ac:dyDescent="0.25">
      <c r="A60" s="107" t="s">
        <v>76</v>
      </c>
      <c r="B60" s="125">
        <f>H46</f>
        <v>4.1495426837885478</v>
      </c>
      <c r="C60" s="9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s="2" customFormat="1" ht="15" customHeight="1" x14ac:dyDescent="0.25">
      <c r="A61" s="107" t="s">
        <v>77</v>
      </c>
      <c r="B61" s="125">
        <f>N46</f>
        <v>4.1007292702717262</v>
      </c>
      <c r="C61" s="9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s="2" customFormat="1" x14ac:dyDescent="0.25">
      <c r="A62" s="44" t="s">
        <v>230</v>
      </c>
      <c r="B62" s="90">
        <v>4.1336514499358801</v>
      </c>
      <c r="C62" s="96"/>
      <c r="D62" s="11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s="2" customFormat="1" x14ac:dyDescent="0.25">
      <c r="A63" s="53" t="s">
        <v>199</v>
      </c>
      <c r="B63" s="53" t="s">
        <v>70</v>
      </c>
      <c r="C63" s="96"/>
      <c r="D63" s="11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s="2" customFormat="1" x14ac:dyDescent="0.25">
      <c r="A64" s="49" t="s">
        <v>47</v>
      </c>
      <c r="B64" s="89">
        <f>NPV('I-Dados'!B77,'A-Tarifa-P0'!B50:E50)</f>
        <v>-167309411.01283213</v>
      </c>
      <c r="C64" s="96"/>
      <c r="D64" s="11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2" customFormat="1" x14ac:dyDescent="0.25">
      <c r="A65" s="49" t="s">
        <v>48</v>
      </c>
      <c r="B65" s="89">
        <f>B42</f>
        <v>-167309411.00999999</v>
      </c>
      <c r="C65" s="96"/>
      <c r="D65" s="11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s="2" customFormat="1" x14ac:dyDescent="0.25">
      <c r="A66" s="109" t="s">
        <v>49</v>
      </c>
      <c r="B66" s="110">
        <f>ROUND(B64-B65,2)</f>
        <v>0</v>
      </c>
      <c r="C66" s="96"/>
      <c r="D66" s="11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s="2" customFormat="1" x14ac:dyDescent="0.25">
      <c r="A67" s="127" t="s">
        <v>215</v>
      </c>
      <c r="B67" s="128">
        <v>-5.0826225188480061E-2</v>
      </c>
      <c r="C67" s="96"/>
      <c r="D67" s="11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s="2" customFormat="1" x14ac:dyDescent="0.25">
      <c r="A68" s="49" t="s">
        <v>47</v>
      </c>
      <c r="B68" s="89">
        <f>NPV('I-Dados'!B156,'A-Tarifa-P0'!B51:E51)</f>
        <v>1708762658.6826363</v>
      </c>
      <c r="C68" s="96"/>
      <c r="D68" s="11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s="2" customFormat="1" x14ac:dyDescent="0.25">
      <c r="A69" s="49" t="s">
        <v>48</v>
      </c>
      <c r="B69" s="89">
        <f>B43</f>
        <v>1708762658.6800001</v>
      </c>
      <c r="C69" s="96"/>
      <c r="D69" s="11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2" customFormat="1" x14ac:dyDescent="0.25">
      <c r="A70" s="109" t="s">
        <v>49</v>
      </c>
      <c r="B70" s="110">
        <f>ROUND(B68-B69,2)</f>
        <v>0</v>
      </c>
      <c r="C70" s="96"/>
      <c r="D70" s="11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s="2" customFormat="1" x14ac:dyDescent="0.25">
      <c r="A71" s="127" t="s">
        <v>216</v>
      </c>
      <c r="B71" s="128">
        <v>0.4587722090690004</v>
      </c>
      <c r="C71" s="96"/>
      <c r="D71" s="11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2" customFormat="1" x14ac:dyDescent="0.25">
      <c r="A72" s="49" t="s">
        <v>47</v>
      </c>
      <c r="B72" s="89">
        <f>NPV('I-Dados'!B157,'A-Tarifa-P0'!B52:E52)</f>
        <v>-12483872.241464676</v>
      </c>
      <c r="C72" s="96"/>
      <c r="D72" s="11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s="2" customFormat="1" x14ac:dyDescent="0.25">
      <c r="A73" s="49" t="s">
        <v>48</v>
      </c>
      <c r="B73" s="89">
        <f>B44</f>
        <v>-12483872.236783817</v>
      </c>
      <c r="C73" s="96"/>
      <c r="D73" s="11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s="2" customFormat="1" x14ac:dyDescent="0.25">
      <c r="A74" s="109" t="s">
        <v>49</v>
      </c>
      <c r="B74" s="110">
        <f>ROUND(B72-B73,2)</f>
        <v>0</v>
      </c>
      <c r="C74" s="96"/>
      <c r="D74" s="11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2" customFormat="1" x14ac:dyDescent="0.25">
      <c r="A75" s="127" t="s">
        <v>217</v>
      </c>
      <c r="B75" s="128">
        <v>-3.5113905815628513E-3</v>
      </c>
      <c r="C75" s="96"/>
      <c r="D75" s="11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s="2" customFormat="1" x14ac:dyDescent="0.25">
      <c r="A76" s="122" t="s">
        <v>231</v>
      </c>
      <c r="B76" s="126">
        <f>B75+B71+B67</f>
        <v>0.40443459329895748</v>
      </c>
      <c r="C76" s="96"/>
      <c r="D76" s="11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2" customFormat="1" x14ac:dyDescent="0.25">
      <c r="A77" s="70" t="s">
        <v>229</v>
      </c>
      <c r="B77" s="124">
        <f>ROUND(B62+B76,3)</f>
        <v>4.5380000000000003</v>
      </c>
      <c r="C77" s="96"/>
      <c r="D77" s="11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s="2" customFormat="1" x14ac:dyDescent="0.25">
      <c r="A78" s="197" t="s">
        <v>39</v>
      </c>
      <c r="B78" s="198"/>
      <c r="C78" s="4"/>
      <c r="D78" s="11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s="2" customFormat="1" x14ac:dyDescent="0.25">
      <c r="A79" s="9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2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s="2" customFormat="1" x14ac:dyDescent="0.25">
      <c r="A81" s="92" t="s">
        <v>41</v>
      </c>
      <c r="B81" s="93" t="str">
        <f>IF(AND(B59=0,B66=0,B70=0,B74=0,H45=0,N45=0),"OK","Verificar VPLs")</f>
        <v>OK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s="2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s="2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/>
    <row r="85" spans="1:19" x14ac:dyDescent="0.25"/>
    <row r="86" spans="1:19" x14ac:dyDescent="0.25"/>
    <row r="87" spans="1:19" hidden="1" x14ac:dyDescent="0.25">
      <c r="A87" s="97"/>
      <c r="B87" s="97"/>
      <c r="C87" s="97"/>
      <c r="D87" s="97"/>
      <c r="E87" s="97"/>
    </row>
    <row r="88" spans="1:19" hidden="1" x14ac:dyDescent="0.25">
      <c r="A88" s="114"/>
      <c r="B88" s="98"/>
      <c r="C88" s="98"/>
      <c r="D88" s="98"/>
      <c r="E88" s="98"/>
    </row>
    <row r="89" spans="1:19" hidden="1" x14ac:dyDescent="0.25">
      <c r="A89" s="97"/>
      <c r="B89" s="97"/>
      <c r="C89" s="97"/>
      <c r="D89" s="97"/>
      <c r="E89" s="97"/>
    </row>
    <row r="90" spans="1:19" hidden="1" x14ac:dyDescent="0.25">
      <c r="A90" s="97"/>
      <c r="B90" s="97"/>
      <c r="C90" s="97"/>
      <c r="D90" s="97"/>
      <c r="E90" s="97"/>
    </row>
    <row r="91" spans="1:19" x14ac:dyDescent="0.25"/>
    <row r="92" spans="1:19" x14ac:dyDescent="0.25"/>
    <row r="93" spans="1:19" x14ac:dyDescent="0.25"/>
    <row r="94" spans="1:19" x14ac:dyDescent="0.25"/>
    <row r="95" spans="1:19" x14ac:dyDescent="0.25"/>
    <row r="96" spans="1:19" x14ac:dyDescent="0.25"/>
    <row r="97" x14ac:dyDescent="0.25"/>
    <row r="98" x14ac:dyDescent="0.25"/>
    <row r="99" x14ac:dyDescent="0.25"/>
    <row r="100" x14ac:dyDescent="0.25"/>
    <row r="101" x14ac:dyDescent="0.25"/>
  </sheetData>
  <mergeCells count="1">
    <mergeCell ref="A78:B78"/>
  </mergeCells>
  <conditionalFormatting sqref="B81">
    <cfRule type="expression" dxfId="0" priority="1">
      <formula>$B$81="Verificar VPLs"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92E8-E095-44A1-B969-2D0199C826BB}">
  <dimension ref="A1:I57"/>
  <sheetViews>
    <sheetView workbookViewId="0">
      <selection activeCell="A6" sqref="A6"/>
    </sheetView>
  </sheetViews>
  <sheetFormatPr defaultRowHeight="15" x14ac:dyDescent="0.25"/>
  <cols>
    <col min="1" max="1" width="41.7109375" style="2" customWidth="1"/>
    <col min="2" max="2" width="24" style="2" customWidth="1"/>
    <col min="3" max="5" width="19.7109375" style="2" customWidth="1"/>
    <col min="6" max="6" width="9.140625" style="2"/>
    <col min="7" max="7" width="15.28515625" style="2" bestFit="1" customWidth="1"/>
    <col min="8" max="8" width="11.5703125" style="2" bestFit="1" customWidth="1"/>
    <col min="9" max="9" width="13.28515625" style="2" bestFit="1" customWidth="1"/>
    <col min="10" max="16384" width="9.140625" style="2"/>
  </cols>
  <sheetData>
    <row r="1" spans="1:9" x14ac:dyDescent="0.25">
      <c r="A1" s="1" t="s">
        <v>71</v>
      </c>
    </row>
    <row r="2" spans="1:9" x14ac:dyDescent="0.25">
      <c r="A2" s="69" t="s">
        <v>79</v>
      </c>
      <c r="B2" s="62">
        <v>2021</v>
      </c>
      <c r="C2" s="62">
        <v>2022</v>
      </c>
      <c r="D2" s="62">
        <v>2023</v>
      </c>
      <c r="E2" s="62">
        <v>2024</v>
      </c>
    </row>
    <row r="3" spans="1:9" x14ac:dyDescent="0.25">
      <c r="A3" s="57" t="s">
        <v>195</v>
      </c>
      <c r="B3" s="58">
        <f>'A-Tarifa-P0'!$B$62*(1-'A-Fator-X'!$B$45)^('A-Fator-X'!B2-'A-Fator-X'!$B$2)</f>
        <v>4.1336514499358801</v>
      </c>
      <c r="C3" s="58">
        <f>'A-Tarifa-P0'!$B$62*(1-'A-Fator-X'!$B$45)^('A-Fator-X'!C2-'A-Fator-X'!$B$2)</f>
        <v>4.0958957689937936</v>
      </c>
      <c r="D3" s="58">
        <f>'A-Tarifa-P0'!$B$62*(1-'A-Fator-X'!$B$45)^('A-Fator-X'!D2-'A-Fator-X'!$B$2)</f>
        <v>4.0584849384728576</v>
      </c>
      <c r="E3" s="58">
        <f>'A-Tarifa-P0'!$B$62*(1-'A-Fator-X'!$B$45)^('A-Fator-X'!E2-'A-Fator-X'!$B$2)</f>
        <v>4.0214158086003762</v>
      </c>
    </row>
    <row r="4" spans="1:9" x14ac:dyDescent="0.25">
      <c r="A4" s="59" t="s">
        <v>51</v>
      </c>
      <c r="B4" s="60">
        <f>'A-Tarifa-P0'!B4</f>
        <v>933405017</v>
      </c>
      <c r="C4" s="60">
        <f>'A-Tarifa-P0'!C4</f>
        <v>976505620</v>
      </c>
      <c r="D4" s="60">
        <f>'A-Tarifa-P0'!D4</f>
        <v>993780787</v>
      </c>
      <c r="E4" s="60">
        <f>'A-Tarifa-P0'!E4</f>
        <v>1011523556</v>
      </c>
      <c r="F4" s="102"/>
    </row>
    <row r="5" spans="1:9" x14ac:dyDescent="0.25">
      <c r="A5" s="59" t="s">
        <v>194</v>
      </c>
      <c r="B5" s="60">
        <f>'I-Dados'!D8</f>
        <v>5683574</v>
      </c>
      <c r="C5" s="60">
        <f>'I-Dados'!E8</f>
        <v>5810788</v>
      </c>
      <c r="D5" s="60">
        <f>'I-Dados'!F8</f>
        <v>5958529</v>
      </c>
      <c r="E5" s="60">
        <f>'I-Dados'!G8</f>
        <v>6103986</v>
      </c>
      <c r="F5" s="102"/>
    </row>
    <row r="6" spans="1:9" x14ac:dyDescent="0.25">
      <c r="A6" s="64" t="s">
        <v>12</v>
      </c>
      <c r="B6" s="60">
        <f>'A-Tarifa-P0'!B5</f>
        <v>126816880.85614884</v>
      </c>
      <c r="C6" s="60">
        <f>B6*(((C4/B4-1)/2)+1)</f>
        <v>129744808.14169456</v>
      </c>
      <c r="D6" s="60">
        <f>C6*(((D4/C4-1)/2)+1)</f>
        <v>130892452.95915641</v>
      </c>
      <c r="E6" s="60">
        <f>D6*(((E4/D4-1)/2)+1)</f>
        <v>132060917.16528603</v>
      </c>
      <c r="F6" s="102"/>
    </row>
    <row r="7" spans="1:9" x14ac:dyDescent="0.25">
      <c r="A7" s="70" t="s">
        <v>91</v>
      </c>
      <c r="B7" s="63">
        <f>B3*B4+B6</f>
        <v>3985187882.7556233</v>
      </c>
      <c r="C7" s="63">
        <f>C3*C4+C6</f>
        <v>4129410045.4983559</v>
      </c>
      <c r="D7" s="63">
        <f>D3*D4+D6</f>
        <v>4164136809.1423597</v>
      </c>
      <c r="E7" s="63">
        <f>E3*E4+E6</f>
        <v>4199817736.0353541</v>
      </c>
      <c r="F7" s="37"/>
    </row>
    <row r="8" spans="1:9" x14ac:dyDescent="0.25">
      <c r="A8" s="55" t="s">
        <v>19</v>
      </c>
      <c r="B8" s="72">
        <f t="shared" ref="B8:E8" si="0">SUM(B9:B11)</f>
        <v>1717652306.5002747</v>
      </c>
      <c r="C8" s="72">
        <f t="shared" si="0"/>
        <v>1754781209.8434157</v>
      </c>
      <c r="D8" s="72">
        <f t="shared" si="0"/>
        <v>1772882673.2032986</v>
      </c>
      <c r="E8" s="72">
        <f t="shared" si="0"/>
        <v>1791265011.8690829</v>
      </c>
      <c r="F8" s="103"/>
    </row>
    <row r="9" spans="1:9" x14ac:dyDescent="0.25">
      <c r="A9" s="57" t="s">
        <v>52</v>
      </c>
      <c r="B9" s="99">
        <f>('I-Dados'!B23+'I-Dados'!B24)*'I-Dados'!C5/'I-Dados'!B5</f>
        <v>816113116.71995974</v>
      </c>
      <c r="C9" s="61">
        <f>$B$9</f>
        <v>816113116.71995974</v>
      </c>
      <c r="D9" s="61">
        <f t="shared" ref="D9:E9" si="1">$B$9</f>
        <v>816113116.71995974</v>
      </c>
      <c r="E9" s="61">
        <f t="shared" si="1"/>
        <v>816113116.71995974</v>
      </c>
      <c r="F9" s="103"/>
    </row>
    <row r="10" spans="1:9" x14ac:dyDescent="0.25">
      <c r="A10" s="59" t="s">
        <v>53</v>
      </c>
      <c r="B10" s="60">
        <f>('I-Dados'!B25+'I-Dados'!B26)*('I-Dados'!C5/'I-Dados'!B5)*'A-Fator-X'!B5/'I-Dados'!C8</f>
        <v>189143366.0579001</v>
      </c>
      <c r="C10" s="61">
        <f>B10*C$5/B$5</f>
        <v>193376914.20378327</v>
      </c>
      <c r="D10" s="61">
        <f t="shared" ref="D10:E10" si="2">C10*D$5/C$5</f>
        <v>198293579.32413891</v>
      </c>
      <c r="E10" s="61">
        <f t="shared" si="2"/>
        <v>203134235.32627487</v>
      </c>
      <c r="F10" s="103"/>
      <c r="I10" s="100"/>
    </row>
    <row r="11" spans="1:9" x14ac:dyDescent="0.25">
      <c r="A11" s="57" t="s">
        <v>54</v>
      </c>
      <c r="B11" s="61">
        <f>('I-Dados'!B27+'I-Dados'!B28)*('I-Dados'!C5/'I-Dados'!B5)*'A-Fator-X'!B4/'I-Dados'!C5</f>
        <v>712395823.72241473</v>
      </c>
      <c r="C11" s="61">
        <f>B11*C$4/B$4</f>
        <v>745291178.91967285</v>
      </c>
      <c r="D11" s="61">
        <f t="shared" ref="D11:E11" si="3">C11*D$4/C$4</f>
        <v>758475977.15919983</v>
      </c>
      <c r="E11" s="61">
        <f t="shared" si="3"/>
        <v>772017659.82284844</v>
      </c>
      <c r="F11" s="103"/>
    </row>
    <row r="12" spans="1:9" x14ac:dyDescent="0.25">
      <c r="A12" s="56" t="s">
        <v>42</v>
      </c>
      <c r="B12" s="72">
        <f t="shared" ref="B12:D12" si="4">B13</f>
        <v>23883173784.390003</v>
      </c>
      <c r="C12" s="72">
        <f t="shared" si="4"/>
        <v>25131384784.390003</v>
      </c>
      <c r="D12" s="72">
        <f t="shared" si="4"/>
        <v>26476555784.390003</v>
      </c>
      <c r="E12" s="72">
        <f>E13</f>
        <v>27906307784.390003</v>
      </c>
      <c r="F12" s="103"/>
    </row>
    <row r="13" spans="1:9" x14ac:dyDescent="0.25">
      <c r="A13" s="65" t="s">
        <v>55</v>
      </c>
      <c r="B13" s="84">
        <f>'I-Dados'!B116+(0.5*B23)</f>
        <v>23883173784.390003</v>
      </c>
      <c r="C13" s="84">
        <f>B13+(0.5*B23)+(0.5*C23)</f>
        <v>25131384784.390003</v>
      </c>
      <c r="D13" s="84">
        <f>C13+(0.5*C23)+(0.5*D23)</f>
        <v>26476555784.390003</v>
      </c>
      <c r="E13" s="84">
        <f>D13+(0.5*D23)+(0.5*E23)</f>
        <v>27906307784.390003</v>
      </c>
      <c r="F13" s="103"/>
    </row>
    <row r="14" spans="1:9" x14ac:dyDescent="0.25">
      <c r="A14" s="67" t="s">
        <v>188</v>
      </c>
      <c r="B14" s="80">
        <f>('I-Dados'!B101+'I-Dados'!B106+'I-Dados'!B111)*'A-Fator-X'!B13/'I-Dados'!B116</f>
        <v>21614812186.258537</v>
      </c>
      <c r="C14" s="80">
        <f>B14*C13/B13</f>
        <v>22744471358.753269</v>
      </c>
      <c r="D14" s="80">
        <f t="shared" ref="D14:E14" si="5">C14*D13/C13</f>
        <v>23961881523.159698</v>
      </c>
      <c r="E14" s="80">
        <f t="shared" si="5"/>
        <v>25255839404.633816</v>
      </c>
    </row>
    <row r="15" spans="1:9" x14ac:dyDescent="0.25">
      <c r="A15" s="67" t="s">
        <v>56</v>
      </c>
      <c r="B15" s="80">
        <f>('I-Dados'!B103+'I-Dados'!B108+'I-Dados'!B113)*'A-Fator-X'!B13/'I-Dados'!B116</f>
        <v>1456061635.7062066</v>
      </c>
      <c r="C15" s="80">
        <f>B15*C13/B13</f>
        <v>1532160070.8126152</v>
      </c>
      <c r="D15" s="80">
        <f t="shared" ref="D15:E15" si="6">C15*D13/C13</f>
        <v>1614169769.533843</v>
      </c>
      <c r="E15" s="80">
        <f t="shared" si="6"/>
        <v>1701336033.7233572</v>
      </c>
      <c r="F15" s="103"/>
    </row>
    <row r="16" spans="1:9" x14ac:dyDescent="0.25">
      <c r="A16" s="67" t="s">
        <v>57</v>
      </c>
      <c r="B16" s="101">
        <f>('I-Dados'!B104+'I-Dados'!B109+'I-Dados'!B114)*'A-Fator-X'!B13/'I-Dados'!B116</f>
        <v>20216584.848955505</v>
      </c>
      <c r="C16" s="80">
        <f>B16*C13/B13</f>
        <v>21273168.19163473</v>
      </c>
      <c r="D16" s="80">
        <f t="shared" ref="D16:E16" si="7">C16*D13/C13</f>
        <v>22411826.056094468</v>
      </c>
      <c r="E16" s="80">
        <f t="shared" si="7"/>
        <v>23622079.889270354</v>
      </c>
      <c r="F16" s="103"/>
    </row>
    <row r="17" spans="1:8" x14ac:dyDescent="0.25">
      <c r="A17" s="67" t="s">
        <v>72</v>
      </c>
      <c r="B17" s="80">
        <f>'I-Dados'!B102+'I-Dados'!B107+'I-Dados'!B112</f>
        <v>772268303.91999996</v>
      </c>
      <c r="C17" s="80">
        <f>$B$17</f>
        <v>772268303.91999996</v>
      </c>
      <c r="D17" s="80">
        <f t="shared" ref="D17:E17" si="8">$B$17</f>
        <v>772268303.91999996</v>
      </c>
      <c r="E17" s="80">
        <f t="shared" si="8"/>
        <v>772268303.91999996</v>
      </c>
      <c r="F17" s="103"/>
      <c r="G17" s="104"/>
      <c r="H17" s="104"/>
    </row>
    <row r="18" spans="1:8" x14ac:dyDescent="0.25">
      <c r="A18" s="66" t="s">
        <v>190</v>
      </c>
      <c r="B18" s="83">
        <f>B17*B29</f>
        <v>20001749.071528003</v>
      </c>
      <c r="C18" s="76">
        <f t="shared" ref="C18:D18" si="9">C17*C29</f>
        <v>20001749.071528003</v>
      </c>
      <c r="D18" s="76">
        <f t="shared" si="9"/>
        <v>20001749.071528003</v>
      </c>
      <c r="E18" s="76">
        <f>E17*E29</f>
        <v>20001749.071528003</v>
      </c>
      <c r="F18" s="103"/>
    </row>
    <row r="19" spans="1:8" x14ac:dyDescent="0.25">
      <c r="A19" s="66" t="s">
        <v>189</v>
      </c>
      <c r="B19" s="83">
        <f>('I-Dados'!B117+'I-Dados'!B118)*(1+'I-Dados'!B158)*'A-Fator-X'!B13/'I-Dados'!B116</f>
        <v>139127361.07534242</v>
      </c>
      <c r="C19" s="76">
        <f>B19*C13/B13</f>
        <v>146398601.65931866</v>
      </c>
      <c r="D19" s="76">
        <f t="shared" ref="D19:E19" si="10">C19*D13/C13</f>
        <v>154234666.20897245</v>
      </c>
      <c r="E19" s="76">
        <f t="shared" si="10"/>
        <v>162563442.96820724</v>
      </c>
      <c r="F19" s="103"/>
    </row>
    <row r="20" spans="1:8" x14ac:dyDescent="0.25">
      <c r="A20" s="66" t="s">
        <v>58</v>
      </c>
      <c r="B20" s="83">
        <f>'I-Dados'!B126*(1+'I-Dados'!B158)*'A-Fator-X'!B23/'I-Dados'!B71</f>
        <v>1657745339.0294936</v>
      </c>
      <c r="C20" s="76">
        <v>0</v>
      </c>
      <c r="D20" s="76">
        <v>0</v>
      </c>
      <c r="E20" s="76">
        <v>0</v>
      </c>
      <c r="F20" s="103"/>
    </row>
    <row r="21" spans="1:8" x14ac:dyDescent="0.25">
      <c r="A21" s="54" t="s">
        <v>59</v>
      </c>
      <c r="B21" s="78">
        <f>'I-Dados'!B129*(1+'I-Dados'!B158)*'A-Fator-X'!B23/'I-Dados'!B71</f>
        <v>110474654.07010821</v>
      </c>
      <c r="C21" s="77">
        <f>B21*C23/B23</f>
        <v>120324294.21609119</v>
      </c>
      <c r="D21" s="77">
        <f t="shared" ref="D21:E21" si="11">C21*D23/C23</f>
        <v>128402925.83331963</v>
      </c>
      <c r="E21" s="77">
        <f t="shared" si="11"/>
        <v>135963641.92653039</v>
      </c>
      <c r="F21" s="103"/>
    </row>
    <row r="22" spans="1:8" x14ac:dyDescent="0.25">
      <c r="A22" s="54" t="s">
        <v>60</v>
      </c>
      <c r="B22" s="78">
        <f>('I-Dados'!B143+'I-Dados'!B144)*'A-Fator-X'!B4/'I-Dados'!B5</f>
        <v>273521061.11643261</v>
      </c>
      <c r="C22" s="77">
        <f>B22*C4/B4</f>
        <v>286151079.65351754</v>
      </c>
      <c r="D22" s="77">
        <f>C22*D4/C4</f>
        <v>291213321.57716852</v>
      </c>
      <c r="E22" s="77">
        <f>D22*E4/D4</f>
        <v>296412587.61456519</v>
      </c>
      <c r="F22" s="103"/>
    </row>
    <row r="23" spans="1:8" x14ac:dyDescent="0.25">
      <c r="A23" s="65" t="s">
        <v>61</v>
      </c>
      <c r="B23" s="79">
        <f>'I-Dados'!C71</f>
        <v>1194942000</v>
      </c>
      <c r="C23" s="79">
        <f>'I-Dados'!D71</f>
        <v>1301480000</v>
      </c>
      <c r="D23" s="79">
        <f>'I-Dados'!E71</f>
        <v>1388862000</v>
      </c>
      <c r="E23" s="79">
        <f>'I-Dados'!F71</f>
        <v>1470642000</v>
      </c>
      <c r="F23" s="103"/>
    </row>
    <row r="24" spans="1:8" x14ac:dyDescent="0.25">
      <c r="A24" s="67" t="s">
        <v>62</v>
      </c>
      <c r="B24" s="80">
        <f>'I-Dados'!B120+'I-Dados'!B121+'I-Dados'!B122</f>
        <v>9338204068.8700008</v>
      </c>
      <c r="C24" s="81">
        <f>B24+B25-B18</f>
        <v>9936776520.8141747</v>
      </c>
      <c r="D24" s="81">
        <f t="shared" ref="D24:E24" si="12">C24+C25-C18</f>
        <v>10567677637.658348</v>
      </c>
      <c r="E24" s="81">
        <f t="shared" si="12"/>
        <v>11233418683.402521</v>
      </c>
      <c r="F24" s="103"/>
    </row>
    <row r="25" spans="1:8" x14ac:dyDescent="0.25">
      <c r="A25" s="67" t="s">
        <v>63</v>
      </c>
      <c r="B25" s="80">
        <f>B13*B29</f>
        <v>618574201.01570117</v>
      </c>
      <c r="C25" s="80">
        <f t="shared" ref="C25:D25" si="13">C13*C29</f>
        <v>650902865.91570115</v>
      </c>
      <c r="D25" s="80">
        <f t="shared" si="13"/>
        <v>685742794.81570113</v>
      </c>
      <c r="E25" s="80">
        <f>E13*E29</f>
        <v>722773371.6157012</v>
      </c>
      <c r="F25" s="102"/>
    </row>
    <row r="26" spans="1:8" x14ac:dyDescent="0.25">
      <c r="A26" s="56" t="s">
        <v>43</v>
      </c>
      <c r="B26" s="85">
        <f>B12-B15-B16-B19</f>
        <v>22267768202.759495</v>
      </c>
      <c r="C26" s="85">
        <f t="shared" ref="C26:D26" si="14">C12-C15-C16-C19</f>
        <v>23431552943.726437</v>
      </c>
      <c r="D26" s="85">
        <f t="shared" si="14"/>
        <v>24685739522.591091</v>
      </c>
      <c r="E26" s="85">
        <f>E12-E15-E16-E19</f>
        <v>26018786227.809166</v>
      </c>
      <c r="F26" s="103"/>
    </row>
    <row r="27" spans="1:8" x14ac:dyDescent="0.25">
      <c r="A27" s="44" t="s">
        <v>44</v>
      </c>
      <c r="B27" s="86">
        <f>B13-B17-B24+B20+B21+B22</f>
        <v>15814442465.816038</v>
      </c>
      <c r="C27" s="86">
        <f t="shared" ref="C27:E27" si="15">C13-C17-C24+C20+C21+C22</f>
        <v>14828815333.525438</v>
      </c>
      <c r="D27" s="86">
        <f t="shared" si="15"/>
        <v>15556226090.222145</v>
      </c>
      <c r="E27" s="86">
        <f t="shared" si="15"/>
        <v>16332997026.60858</v>
      </c>
      <c r="F27" s="103"/>
    </row>
    <row r="28" spans="1:8" x14ac:dyDescent="0.25">
      <c r="A28" s="55" t="s">
        <v>45</v>
      </c>
      <c r="B28" s="91">
        <f>B26*B29</f>
        <v>576735196.45147097</v>
      </c>
      <c r="C28" s="91">
        <f t="shared" ref="C28:D28" si="16">C26*C29</f>
        <v>606877221.24251473</v>
      </c>
      <c r="D28" s="91">
        <f t="shared" si="16"/>
        <v>639360653.63510931</v>
      </c>
      <c r="E28" s="91">
        <f>E26*E29</f>
        <v>673886563.30025744</v>
      </c>
      <c r="F28" s="103"/>
    </row>
    <row r="29" spans="1:8" x14ac:dyDescent="0.25">
      <c r="A29" s="67" t="s">
        <v>64</v>
      </c>
      <c r="B29" s="82">
        <f>'I-Dados'!B135</f>
        <v>2.5900000000000003E-2</v>
      </c>
      <c r="C29" s="82">
        <f>$B$29</f>
        <v>2.5900000000000003E-2</v>
      </c>
      <c r="D29" s="82">
        <f t="shared" ref="D29:E29" si="17">$B$29</f>
        <v>2.5900000000000003E-2</v>
      </c>
      <c r="E29" s="82">
        <f t="shared" si="17"/>
        <v>2.5900000000000003E-2</v>
      </c>
      <c r="F29" s="102"/>
    </row>
    <row r="30" spans="1:8" x14ac:dyDescent="0.25">
      <c r="A30" s="68" t="s">
        <v>50</v>
      </c>
      <c r="B30" s="87">
        <f>B27*B31</f>
        <v>1729333244.9134469</v>
      </c>
      <c r="C30" s="87">
        <f t="shared" ref="C30:E30" si="18">C27*C31</f>
        <v>1621553424.6230271</v>
      </c>
      <c r="D30" s="87">
        <f t="shared" si="18"/>
        <v>1701096893.005322</v>
      </c>
      <c r="E30" s="87">
        <f t="shared" si="18"/>
        <v>1786037971.8248398</v>
      </c>
      <c r="F30" s="103"/>
    </row>
    <row r="31" spans="1:8" x14ac:dyDescent="0.25">
      <c r="A31" s="67" t="s">
        <v>65</v>
      </c>
      <c r="B31" s="82">
        <f>'I-Dados'!$B$78</f>
        <v>0.10935151515151514</v>
      </c>
      <c r="C31" s="82">
        <f>'I-Dados'!$B$78</f>
        <v>0.10935151515151514</v>
      </c>
      <c r="D31" s="82">
        <f>'I-Dados'!$B$78</f>
        <v>0.10935151515151514</v>
      </c>
      <c r="E31" s="82">
        <f>'I-Dados'!$B$78</f>
        <v>0.10935151515151514</v>
      </c>
      <c r="F31" s="103"/>
    </row>
    <row r="32" spans="1:8" x14ac:dyDescent="0.25">
      <c r="A32" s="68" t="s">
        <v>46</v>
      </c>
      <c r="B32" s="88">
        <f>B33*B34</f>
        <v>27214150.734951515</v>
      </c>
      <c r="C32" s="88">
        <f t="shared" ref="C32:E32" si="19">C33*C34</f>
        <v>27173322.362687428</v>
      </c>
      <c r="D32" s="88">
        <f t="shared" si="19"/>
        <v>27996094.573023751</v>
      </c>
      <c r="E32" s="88">
        <f t="shared" si="19"/>
        <v>28865209.213622738</v>
      </c>
      <c r="F32" s="103"/>
    </row>
    <row r="33" spans="1:6" x14ac:dyDescent="0.25">
      <c r="A33" s="67" t="s">
        <v>66</v>
      </c>
      <c r="B33" s="80">
        <f>(B8+B28+B30+B36)/(1-B34-B35)</f>
        <v>5134745421.6889648</v>
      </c>
      <c r="C33" s="80">
        <f t="shared" ref="C33:E33" si="20">(C8+C28+C30+C36)/(1-C34-C35)</f>
        <v>5127041955.2240429</v>
      </c>
      <c r="D33" s="80">
        <f t="shared" si="20"/>
        <v>5282281994.9101419</v>
      </c>
      <c r="E33" s="80">
        <f t="shared" si="20"/>
        <v>5446265889.3627806</v>
      </c>
      <c r="F33" s="103"/>
    </row>
    <row r="34" spans="1:6" x14ac:dyDescent="0.25">
      <c r="A34" s="67" t="s">
        <v>67</v>
      </c>
      <c r="B34" s="82">
        <f>'I-Dados'!B95</f>
        <v>5.3E-3</v>
      </c>
      <c r="C34" s="82">
        <f>$B$34</f>
        <v>5.3E-3</v>
      </c>
      <c r="D34" s="82">
        <f t="shared" ref="D34:E34" si="21">$B$34</f>
        <v>5.3E-3</v>
      </c>
      <c r="E34" s="82">
        <f t="shared" si="21"/>
        <v>5.3E-3</v>
      </c>
      <c r="F34" s="103"/>
    </row>
    <row r="35" spans="1:6" x14ac:dyDescent="0.25">
      <c r="A35" s="67" t="s">
        <v>68</v>
      </c>
      <c r="B35" s="144">
        <f>'I-Dados'!B87</f>
        <v>7.0258000000000001E-2</v>
      </c>
      <c r="C35" s="144">
        <f>$B$35</f>
        <v>7.0258000000000001E-2</v>
      </c>
      <c r="D35" s="144">
        <f t="shared" ref="D35:E35" si="22">$B$35</f>
        <v>7.0258000000000001E-2</v>
      </c>
      <c r="E35" s="144">
        <f t="shared" si="22"/>
        <v>7.0258000000000001E-2</v>
      </c>
      <c r="F35" s="102"/>
    </row>
    <row r="36" spans="1:6" x14ac:dyDescent="0.25">
      <c r="A36" s="67" t="s">
        <v>69</v>
      </c>
      <c r="B36" s="133">
        <f>'I-Dados'!B47*B4/'I-Dados'!C5</f>
        <v>723053579.25179744</v>
      </c>
      <c r="C36" s="81">
        <f>B36*C4/B4</f>
        <v>756441063.46226728</v>
      </c>
      <c r="D36" s="81">
        <f>C36*D4/C4</f>
        <v>769823112.09499133</v>
      </c>
      <c r="E36" s="81">
        <f>D36*E4/D4</f>
        <v>783567384.30012763</v>
      </c>
      <c r="F36" s="103"/>
    </row>
    <row r="37" spans="1:6" x14ac:dyDescent="0.25">
      <c r="A37" s="70" t="s">
        <v>92</v>
      </c>
      <c r="B37" s="63">
        <f>B8+B30+B28+B32</f>
        <v>4050934898.6001439</v>
      </c>
      <c r="C37" s="63">
        <f t="shared" ref="C37:E37" si="23">C8+C30+C28+C32</f>
        <v>4010385178.0716453</v>
      </c>
      <c r="D37" s="63">
        <f t="shared" si="23"/>
        <v>4141336314.4167538</v>
      </c>
      <c r="E37" s="63">
        <f t="shared" si="23"/>
        <v>4280054756.2078032</v>
      </c>
    </row>
    <row r="38" spans="1:6" ht="15" customHeight="1" x14ac:dyDescent="0.25">
      <c r="A38" s="199" t="s">
        <v>75</v>
      </c>
      <c r="B38" s="200"/>
    </row>
    <row r="40" spans="1:6" x14ac:dyDescent="0.25">
      <c r="A40" s="1" t="s">
        <v>73</v>
      </c>
    </row>
    <row r="41" spans="1:6" x14ac:dyDescent="0.25">
      <c r="A41" s="53" t="s">
        <v>74</v>
      </c>
      <c r="B41" s="53" t="s">
        <v>70</v>
      </c>
    </row>
    <row r="42" spans="1:6" x14ac:dyDescent="0.25">
      <c r="A42" s="49" t="s">
        <v>47</v>
      </c>
      <c r="B42" s="89">
        <f>NPV('I-Dados'!$B$77,'A-Fator-X'!B7:E7)</f>
        <v>13865814522.362148</v>
      </c>
    </row>
    <row r="43" spans="1:6" x14ac:dyDescent="0.25">
      <c r="A43" s="49" t="s">
        <v>48</v>
      </c>
      <c r="B43" s="89">
        <f>NPV('I-Dados'!$B$77,'A-Fator-X'!B37:E37)</f>
        <v>13865814522.71044</v>
      </c>
    </row>
    <row r="44" spans="1:6" x14ac:dyDescent="0.25">
      <c r="A44" s="49" t="s">
        <v>49</v>
      </c>
      <c r="B44" s="89">
        <f>ROUND(B42-B43,2)</f>
        <v>-0.35</v>
      </c>
    </row>
    <row r="45" spans="1:6" x14ac:dyDescent="0.25">
      <c r="A45" s="44" t="s">
        <v>196</v>
      </c>
      <c r="B45" s="105">
        <v>9.1337359715396773E-3</v>
      </c>
    </row>
    <row r="46" spans="1:6" x14ac:dyDescent="0.25">
      <c r="A46" s="199" t="s">
        <v>39</v>
      </c>
      <c r="B46" s="200"/>
    </row>
    <row r="48" spans="1:6" x14ac:dyDescent="0.25">
      <c r="A48" s="1" t="s">
        <v>269</v>
      </c>
    </row>
    <row r="49" spans="1:5" x14ac:dyDescent="0.25">
      <c r="A49" s="53" t="s">
        <v>266</v>
      </c>
      <c r="B49" s="53" t="s">
        <v>70</v>
      </c>
    </row>
    <row r="50" spans="1:5" x14ac:dyDescent="0.25">
      <c r="A50" s="49" t="s">
        <v>267</v>
      </c>
      <c r="B50" s="89">
        <f>'A-Tarifa-P0'!B58</f>
        <v>14044404546.260422</v>
      </c>
    </row>
    <row r="51" spans="1:5" x14ac:dyDescent="0.25">
      <c r="A51" s="49" t="s">
        <v>268</v>
      </c>
      <c r="B51" s="89">
        <f>B43</f>
        <v>13865814522.71044</v>
      </c>
    </row>
    <row r="52" spans="1:5" x14ac:dyDescent="0.25">
      <c r="A52" s="49" t="s">
        <v>49</v>
      </c>
      <c r="B52" s="89">
        <f>B50-B51</f>
        <v>178590023.54998207</v>
      </c>
    </row>
    <row r="53" spans="1:5" x14ac:dyDescent="0.25">
      <c r="A53" s="199" t="s">
        <v>39</v>
      </c>
      <c r="B53" s="200"/>
    </row>
    <row r="54" spans="1:5" x14ac:dyDescent="0.25">
      <c r="A54" s="39"/>
      <c r="B54" s="39"/>
      <c r="C54" s="39"/>
      <c r="D54" s="39"/>
      <c r="E54" s="39"/>
    </row>
    <row r="55" spans="1:5" x14ac:dyDescent="0.25">
      <c r="A55" s="40"/>
      <c r="B55" s="41"/>
      <c r="C55" s="41"/>
      <c r="D55" s="41"/>
      <c r="E55" s="41"/>
    </row>
    <row r="56" spans="1:5" x14ac:dyDescent="0.25">
      <c r="A56" s="39"/>
      <c r="B56" s="39"/>
      <c r="C56" s="39"/>
      <c r="D56" s="39"/>
      <c r="E56" s="39"/>
    </row>
    <row r="57" spans="1:5" x14ac:dyDescent="0.25">
      <c r="A57" s="39"/>
      <c r="B57" s="39"/>
      <c r="C57" s="39"/>
      <c r="D57" s="39"/>
      <c r="E57" s="39"/>
    </row>
  </sheetData>
  <mergeCells count="3">
    <mergeCell ref="A38:B38"/>
    <mergeCell ref="A46:B46"/>
    <mergeCell ref="A53:B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E31B-6AF7-49F5-B717-4BFC2515F505}">
  <dimension ref="A1:G36"/>
  <sheetViews>
    <sheetView zoomScale="85" zoomScaleNormal="85" workbookViewId="0">
      <selection activeCell="D11" sqref="D11"/>
    </sheetView>
  </sheetViews>
  <sheetFormatPr defaultRowHeight="15" x14ac:dyDescent="0.25"/>
  <cols>
    <col min="1" max="1" width="34.7109375" style="4" customWidth="1"/>
    <col min="2" max="2" width="28.140625" style="4" customWidth="1"/>
    <col min="3" max="3" width="21.28515625" style="4" customWidth="1"/>
    <col min="4" max="4" width="23.140625" style="4" customWidth="1"/>
    <col min="5" max="5" width="33.28515625" style="4" customWidth="1"/>
    <col min="6" max="6" width="13.28515625" style="4" customWidth="1"/>
    <col min="7" max="16384" width="9.140625" style="4"/>
  </cols>
  <sheetData>
    <row r="1" spans="1:7" x14ac:dyDescent="0.25">
      <c r="A1" s="201" t="s">
        <v>40</v>
      </c>
      <c r="B1" s="201"/>
      <c r="C1" s="201"/>
      <c r="D1" s="201"/>
      <c r="E1" s="201"/>
    </row>
    <row r="2" spans="1:7" x14ac:dyDescent="0.25">
      <c r="A2" s="16"/>
      <c r="B2" s="16"/>
      <c r="C2" s="16"/>
      <c r="D2" s="16"/>
      <c r="E2" s="16"/>
      <c r="G2" s="3" t="s">
        <v>202</v>
      </c>
    </row>
    <row r="3" spans="1:7" x14ac:dyDescent="0.25">
      <c r="A3" s="151" t="s">
        <v>197</v>
      </c>
      <c r="B3" s="151"/>
      <c r="C3" s="16"/>
      <c r="D3" s="16"/>
      <c r="E3" s="16"/>
    </row>
    <row r="4" spans="1:7" x14ac:dyDescent="0.25">
      <c r="A4" s="42" t="s">
        <v>32</v>
      </c>
      <c r="B4" s="42" t="s">
        <v>252</v>
      </c>
      <c r="C4" s="31" t="s">
        <v>200</v>
      </c>
      <c r="D4" s="31" t="s">
        <v>28</v>
      </c>
      <c r="E4" s="38" t="s">
        <v>203</v>
      </c>
    </row>
    <row r="5" spans="1:7" x14ac:dyDescent="0.25">
      <c r="A5" s="107" t="s">
        <v>198</v>
      </c>
      <c r="B5" s="108">
        <v>4.3979326714497278</v>
      </c>
      <c r="C5" s="108">
        <v>4.547565648099213</v>
      </c>
      <c r="D5" s="108">
        <f>'A-Tarifa-P0'!B62</f>
        <v>4.1336514499358801</v>
      </c>
      <c r="E5" s="156">
        <f>(D5+C6+C7)/$C$8-1</f>
        <v>-7.6030572713649991E-2</v>
      </c>
      <c r="F5" s="202"/>
    </row>
    <row r="6" spans="1:7" x14ac:dyDescent="0.25">
      <c r="A6" s="49" t="s">
        <v>14</v>
      </c>
      <c r="B6" s="32">
        <v>0.78129052190597781</v>
      </c>
      <c r="C6" s="32">
        <v>0.89643811221100889</v>
      </c>
      <c r="D6" s="32">
        <f>B22</f>
        <v>0.76500000000000001</v>
      </c>
      <c r="E6" s="157">
        <f>(D6+C5+C7)/$C$8-1</f>
        <v>-2.4142974265390693E-2</v>
      </c>
      <c r="F6" s="202"/>
    </row>
    <row r="7" spans="1:7" x14ac:dyDescent="0.25">
      <c r="A7" s="107" t="s">
        <v>199</v>
      </c>
      <c r="B7" s="108">
        <v>0</v>
      </c>
      <c r="C7" s="108">
        <v>0</v>
      </c>
      <c r="D7" s="108">
        <f>'A-Tarifa-P0'!B76</f>
        <v>0.40443459329895748</v>
      </c>
      <c r="E7" s="156">
        <f>(D7+C5+C6)/$C$8-1</f>
        <v>7.4290660104551876E-2</v>
      </c>
      <c r="F7" s="202"/>
    </row>
    <row r="8" spans="1:7" x14ac:dyDescent="0.25">
      <c r="A8" s="45" t="s">
        <v>201</v>
      </c>
      <c r="B8" s="29">
        <f>ROUND(B6+B5+B7,4)</f>
        <v>5.1791999999999998</v>
      </c>
      <c r="C8" s="29">
        <f>ROUND(C6+C5+C7,4)</f>
        <v>5.444</v>
      </c>
      <c r="D8" s="29">
        <f>ROUND(D6+D5+D7,4)</f>
        <v>5.3030999999999997</v>
      </c>
      <c r="E8" s="134">
        <f>$D8/$C8-1</f>
        <v>-2.5881704628949342E-2</v>
      </c>
      <c r="F8" s="202"/>
    </row>
    <row r="9" spans="1:7" x14ac:dyDescent="0.25">
      <c r="A9" s="152" t="s">
        <v>273</v>
      </c>
      <c r="B9" s="153"/>
    </row>
    <row r="10" spans="1:7" x14ac:dyDescent="0.25">
      <c r="C10" s="154"/>
      <c r="D10" s="154"/>
      <c r="E10" s="155"/>
    </row>
    <row r="11" spans="1:7" x14ac:dyDescent="0.25">
      <c r="A11" s="151" t="s">
        <v>274</v>
      </c>
      <c r="B11" s="151"/>
      <c r="C11" s="16"/>
      <c r="D11" s="16"/>
      <c r="E11" s="155"/>
    </row>
    <row r="12" spans="1:7" x14ac:dyDescent="0.25">
      <c r="A12" s="42" t="s">
        <v>32</v>
      </c>
      <c r="B12" s="31" t="s">
        <v>28</v>
      </c>
      <c r="C12" s="38" t="s">
        <v>254</v>
      </c>
    </row>
    <row r="13" spans="1:7" x14ac:dyDescent="0.25">
      <c r="A13" s="46" t="s">
        <v>30</v>
      </c>
      <c r="B13" s="34">
        <f>'A-Tarifa-P0'!B60</f>
        <v>4.1495426837885478</v>
      </c>
      <c r="C13" s="158" t="s">
        <v>255</v>
      </c>
    </row>
    <row r="14" spans="1:7" x14ac:dyDescent="0.25">
      <c r="A14" s="43" t="s">
        <v>31</v>
      </c>
      <c r="B14" s="32">
        <f>'A-Tarifa-P0'!B61</f>
        <v>4.1007292702717262</v>
      </c>
      <c r="C14" s="149" t="s">
        <v>255</v>
      </c>
    </row>
    <row r="15" spans="1:7" x14ac:dyDescent="0.25">
      <c r="A15" s="44" t="s">
        <v>13</v>
      </c>
      <c r="B15" s="35">
        <f>'A-Tarifa-P0'!B62</f>
        <v>4.1336514499358801</v>
      </c>
      <c r="C15" s="159">
        <f t="shared" ref="C15:C27" si="0">B15/$B$27</f>
        <v>0.77947831455863181</v>
      </c>
    </row>
    <row r="16" spans="1:7" x14ac:dyDescent="0.25">
      <c r="A16" s="47" t="s">
        <v>33</v>
      </c>
      <c r="B16" s="33">
        <f>'A-Tarifa-P0'!H35</f>
        <v>605989613.71697903</v>
      </c>
      <c r="C16" s="160" t="s">
        <v>255</v>
      </c>
      <c r="E16" s="202"/>
      <c r="G16" s="3" t="s">
        <v>253</v>
      </c>
    </row>
    <row r="17" spans="1:7" x14ac:dyDescent="0.25">
      <c r="A17" s="48" t="s">
        <v>34</v>
      </c>
      <c r="B17" s="30">
        <f>'A-Tarifa-P0'!N35</f>
        <v>107673741.14475782</v>
      </c>
      <c r="C17" s="161" t="s">
        <v>255</v>
      </c>
      <c r="E17" s="202"/>
    </row>
    <row r="18" spans="1:7" x14ac:dyDescent="0.25">
      <c r="A18" s="47" t="s">
        <v>35</v>
      </c>
      <c r="B18" s="106">
        <f>'I-Dados'!D3</f>
        <v>527393716</v>
      </c>
      <c r="C18" s="160" t="s">
        <v>255</v>
      </c>
      <c r="E18" s="202"/>
      <c r="G18" s="3" t="s">
        <v>256</v>
      </c>
    </row>
    <row r="19" spans="1:7" x14ac:dyDescent="0.25">
      <c r="A19" s="48" t="s">
        <v>36</v>
      </c>
      <c r="B19" s="106">
        <f>'I-Dados'!D4</f>
        <v>406011301</v>
      </c>
      <c r="C19" s="161" t="s">
        <v>255</v>
      </c>
      <c r="E19" s="202"/>
    </row>
    <row r="20" spans="1:7" x14ac:dyDescent="0.25">
      <c r="A20" s="49" t="s">
        <v>37</v>
      </c>
      <c r="B20" s="32">
        <f>B16/B18</f>
        <v>1.149026989386766</v>
      </c>
      <c r="C20" s="149" t="s">
        <v>255</v>
      </c>
    </row>
    <row r="21" spans="1:7" x14ac:dyDescent="0.25">
      <c r="A21" s="50" t="s">
        <v>38</v>
      </c>
      <c r="B21" s="32">
        <f>B17/B19</f>
        <v>0.26519887717302187</v>
      </c>
      <c r="C21" s="158" t="s">
        <v>255</v>
      </c>
    </row>
    <row r="22" spans="1:7" x14ac:dyDescent="0.25">
      <c r="A22" s="44" t="s">
        <v>14</v>
      </c>
      <c r="B22" s="35">
        <f>ROUND((B16+B17)/(B18+B19),3)</f>
        <v>0.76500000000000001</v>
      </c>
      <c r="C22" s="159">
        <f t="shared" si="0"/>
        <v>0.14425524693104033</v>
      </c>
    </row>
    <row r="23" spans="1:7" x14ac:dyDescent="0.25">
      <c r="A23" s="51" t="s">
        <v>15</v>
      </c>
      <c r="B23" s="36">
        <f>B13+B20</f>
        <v>5.2985696731753134</v>
      </c>
      <c r="C23" s="161" t="s">
        <v>255</v>
      </c>
    </row>
    <row r="24" spans="1:7" x14ac:dyDescent="0.25">
      <c r="A24" s="52" t="s">
        <v>16</v>
      </c>
      <c r="B24" s="36">
        <f>B14+B21</f>
        <v>4.3659281474447482</v>
      </c>
      <c r="C24" s="160" t="s">
        <v>255</v>
      </c>
    </row>
    <row r="25" spans="1:7" x14ac:dyDescent="0.25">
      <c r="A25" s="44" t="s">
        <v>199</v>
      </c>
      <c r="B25" s="35">
        <f>D7</f>
        <v>0.40443459329895748</v>
      </c>
      <c r="C25" s="159">
        <f t="shared" si="0"/>
        <v>7.6263806697772524E-2</v>
      </c>
    </row>
    <row r="26" spans="1:7" x14ac:dyDescent="0.25">
      <c r="A26" s="44" t="s">
        <v>196</v>
      </c>
      <c r="B26" s="132">
        <f>'A-Fator-X'!B45</f>
        <v>9.1337359715396773E-3</v>
      </c>
      <c r="C26" s="159" t="s">
        <v>255</v>
      </c>
    </row>
    <row r="27" spans="1:7" ht="15" customHeight="1" x14ac:dyDescent="0.25">
      <c r="A27" s="45" t="s">
        <v>17</v>
      </c>
      <c r="B27" s="29">
        <f>ROUND(B22+B15+B25,4)</f>
        <v>5.3030999999999997</v>
      </c>
      <c r="C27" s="162">
        <f t="shared" si="0"/>
        <v>1</v>
      </c>
    </row>
    <row r="28" spans="1:7" ht="15" customHeight="1" x14ac:dyDescent="0.25">
      <c r="A28" s="200" t="s">
        <v>273</v>
      </c>
      <c r="B28" s="200"/>
      <c r="C28" s="200"/>
      <c r="D28" s="37"/>
      <c r="E28" s="16"/>
    </row>
    <row r="29" spans="1:7" x14ac:dyDescent="0.25">
      <c r="A29" s="150"/>
      <c r="B29" s="150"/>
      <c r="C29" s="150"/>
      <c r="D29" s="16"/>
      <c r="E29" s="16"/>
    </row>
    <row r="33" spans="7:7" x14ac:dyDescent="0.25">
      <c r="G33" s="3" t="s">
        <v>253</v>
      </c>
    </row>
    <row r="36" spans="7:7" ht="15" customHeight="1" x14ac:dyDescent="0.25"/>
  </sheetData>
  <mergeCells count="4">
    <mergeCell ref="A28:C28"/>
    <mergeCell ref="A1:E1"/>
    <mergeCell ref="F5:F8"/>
    <mergeCell ref="E16:E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Mapa_Planilha</vt:lpstr>
      <vt:lpstr>I-Dados</vt:lpstr>
      <vt:lpstr>A-Tarifa-P0</vt:lpstr>
      <vt:lpstr>A-Fator-X</vt:lpstr>
      <vt:lpstr>R-TarifaRTP-2021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Luciano Ricardo Menegazzo</cp:lastModifiedBy>
  <dcterms:created xsi:type="dcterms:W3CDTF">2019-11-25T15:00:33Z</dcterms:created>
  <dcterms:modified xsi:type="dcterms:W3CDTF">2020-12-21T20:30:54Z</dcterms:modified>
</cp:coreProperties>
</file>