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ciano.rmenegazzo\OneDrive\LRM\Trabalho\Agepar\1-Serviços Regulados\2-Saneamento\2022\6-2aFase 2aRTP\2-NTs CP\2-Opex-Não foi pra CP\"/>
    </mc:Choice>
  </mc:AlternateContent>
  <bookViews>
    <workbookView xWindow="0" yWindow="0" windowWidth="28800" windowHeight="12435" firstSheet="3" activeTab="9"/>
  </bookViews>
  <sheets>
    <sheet name="AlugueisReal" sheetId="15" r:id="rId1"/>
    <sheet name="AluguéisProj" sheetId="14" r:id="rId2"/>
    <sheet name="LeasingLitoralRal" sheetId="16" r:id="rId3"/>
    <sheet name="LeasingLitoralProj" sheetId="13" r:id="rId4"/>
    <sheet name="AuxOPEXSaneparOriginal" sheetId="9" r:id="rId5"/>
    <sheet name="AuxOPEXGlosas" sheetId="8" r:id="rId6"/>
    <sheet name="AuxOPEXDrivers" sheetId="5" r:id="rId7"/>
    <sheet name="AuxOPEXCustoUnit" sheetId="10" r:id="rId8"/>
    <sheet name="AuxOPEXProj" sheetId="3" r:id="rId9"/>
    <sheet name="OPEX" sheetId="1" r:id="rId10"/>
  </sheets>
  <externalReferences>
    <externalReference r:id="rId11"/>
    <externalReference r:id="rId12"/>
  </externalReferences>
  <definedNames>
    <definedName name="_xlnm._FilterDatabase" localSheetId="1" hidden="1">AluguéisProj!$B$2:$AZ$145</definedName>
    <definedName name="_xlnm._FilterDatabase" localSheetId="5" hidden="1">AuxOPEXGlosas!$A$35:$CN$175</definedName>
    <definedName name="_xlnm._FilterDatabase" localSheetId="4" hidden="1">AuxOPEXSaneparOriginal!$A$4:$BC$177</definedName>
    <definedName name="_xlnm._FilterDatabase" localSheetId="2" hidden="1">LeasingLitoralRal!$B$2:$G$151</definedName>
    <definedName name="pAnoBase">[1]params!$B$2</definedName>
    <definedName name="pAnoFin">[1]params!$B$3</definedName>
    <definedName name="pTrendaNominal">[2]params!$B$5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7" i="14" l="1"/>
  <c r="BC6" i="14"/>
  <c r="M6" i="16"/>
  <c r="M5" i="16"/>
  <c r="M4" i="16"/>
  <c r="M3" i="16"/>
  <c r="E9" i="15"/>
  <c r="I9" i="15"/>
  <c r="M9" i="15"/>
  <c r="Q9" i="15"/>
  <c r="G188" i="16"/>
  <c r="K6" i="16"/>
  <c r="K5" i="16"/>
  <c r="K4" i="16"/>
  <c r="K3" i="16"/>
  <c r="C11" i="1" l="1"/>
  <c r="F11" i="1"/>
  <c r="E11" i="1"/>
  <c r="D11" i="1"/>
  <c r="U7" i="15" l="1"/>
  <c r="T7" i="15"/>
  <c r="S7" i="15"/>
  <c r="R7" i="15"/>
  <c r="P7" i="15"/>
  <c r="O7" i="15"/>
  <c r="N7" i="15"/>
  <c r="M7" i="15"/>
  <c r="L7" i="15"/>
  <c r="K7" i="15"/>
  <c r="J7" i="15"/>
  <c r="H7" i="15"/>
  <c r="G7" i="15"/>
  <c r="F7" i="15"/>
  <c r="E7" i="15"/>
  <c r="D7" i="15"/>
  <c r="C7" i="15"/>
  <c r="B7" i="15"/>
  <c r="U6" i="15"/>
  <c r="Q6" i="15"/>
  <c r="M6" i="15"/>
  <c r="I6" i="15"/>
  <c r="E6" i="15"/>
  <c r="U5" i="15"/>
  <c r="Q5" i="15"/>
  <c r="M5" i="15"/>
  <c r="I5" i="15"/>
  <c r="E5" i="15"/>
  <c r="U4" i="15"/>
  <c r="Q4" i="15"/>
  <c r="M4" i="15"/>
  <c r="I4" i="15"/>
  <c r="E4" i="15"/>
  <c r="U3" i="15"/>
  <c r="Q3" i="15"/>
  <c r="Q7" i="15" s="1"/>
  <c r="M3" i="15"/>
  <c r="I3" i="15"/>
  <c r="I7" i="15" s="1"/>
  <c r="E3" i="15"/>
  <c r="J11" i="1"/>
  <c r="I11" i="1"/>
  <c r="M69" i="3"/>
  <c r="G11" i="1" s="1"/>
  <c r="N69" i="3"/>
  <c r="H11" i="1" s="1"/>
  <c r="O69" i="3"/>
  <c r="P69" i="3"/>
  <c r="P46" i="3"/>
  <c r="O46" i="3"/>
  <c r="N46" i="3"/>
  <c r="M46" i="3"/>
  <c r="BC9" i="14"/>
  <c r="BC8" i="14"/>
  <c r="R144" i="14"/>
  <c r="Q144" i="14"/>
  <c r="AY142" i="14"/>
  <c r="AX142" i="14"/>
  <c r="AW142" i="14"/>
  <c r="AV142" i="14"/>
  <c r="AU142" i="14"/>
  <c r="AT142" i="14"/>
  <c r="AS142" i="14"/>
  <c r="AR142" i="14"/>
  <c r="AQ142" i="14"/>
  <c r="AP142" i="14"/>
  <c r="AO142" i="14"/>
  <c r="AN142" i="14"/>
  <c r="AM142" i="14"/>
  <c r="AL142" i="14"/>
  <c r="AK142" i="14"/>
  <c r="AJ142" i="14"/>
  <c r="AI142" i="14"/>
  <c r="AH142" i="14"/>
  <c r="AG142" i="14"/>
  <c r="AF142" i="14"/>
  <c r="AE142" i="14"/>
  <c r="AD142" i="14"/>
  <c r="AC142" i="14"/>
  <c r="AB142" i="14"/>
  <c r="M19" i="14"/>
  <c r="N16" i="14"/>
  <c r="N3" i="14"/>
  <c r="J9" i="13" l="1"/>
  <c r="J8" i="13"/>
  <c r="J7" i="13"/>
  <c r="J6" i="13"/>
  <c r="F53" i="13"/>
  <c r="E53" i="13"/>
  <c r="D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B9" i="13"/>
  <c r="A9" i="13"/>
  <c r="B8" i="13"/>
  <c r="A8" i="13"/>
  <c r="B7" i="13"/>
  <c r="A7" i="13"/>
  <c r="B6" i="13"/>
  <c r="A6" i="13"/>
  <c r="B5" i="13"/>
  <c r="A5" i="13"/>
  <c r="I53" i="3" l="1"/>
  <c r="I52" i="3"/>
  <c r="I51" i="3"/>
  <c r="I50" i="3"/>
  <c r="I49" i="3"/>
  <c r="H53" i="3"/>
  <c r="H52" i="3"/>
  <c r="H51" i="3"/>
  <c r="H50" i="3"/>
  <c r="H49" i="3"/>
  <c r="G53" i="3"/>
  <c r="G52" i="3"/>
  <c r="G51" i="3"/>
  <c r="G50" i="3"/>
  <c r="G49" i="3"/>
  <c r="F53" i="3"/>
  <c r="F52" i="3"/>
  <c r="F51" i="3"/>
  <c r="F50" i="3"/>
  <c r="F49" i="3"/>
  <c r="Z55" i="10"/>
  <c r="Y55" i="10"/>
  <c r="Z54" i="10"/>
  <c r="Y54" i="10"/>
  <c r="Y49" i="10"/>
  <c r="X53" i="10"/>
  <c r="X52" i="10"/>
  <c r="X51" i="10"/>
  <c r="X50" i="10"/>
  <c r="X49" i="10"/>
  <c r="W53" i="10"/>
  <c r="W52" i="10"/>
  <c r="W51" i="10"/>
  <c r="W50" i="10"/>
  <c r="W49" i="10"/>
  <c r="V53" i="10"/>
  <c r="V52" i="10"/>
  <c r="V51" i="10"/>
  <c r="V50" i="10"/>
  <c r="Y50" i="10" s="1"/>
  <c r="V49" i="10"/>
  <c r="Z49" i="10" s="1"/>
  <c r="U53" i="10"/>
  <c r="Y53" i="10" s="1"/>
  <c r="U52" i="10"/>
  <c r="U51" i="10"/>
  <c r="U50" i="10"/>
  <c r="U49" i="10"/>
  <c r="Q55" i="10"/>
  <c r="AE55" i="10" s="1"/>
  <c r="P55" i="10"/>
  <c r="AD55" i="10" s="1"/>
  <c r="N54" i="10"/>
  <c r="AB54" i="10" s="1"/>
  <c r="N50" i="10"/>
  <c r="AB50" i="10" s="1"/>
  <c r="O49" i="10"/>
  <c r="AC49" i="10" s="1"/>
  <c r="L55" i="10"/>
  <c r="S55" i="10" s="1"/>
  <c r="I55" i="10"/>
  <c r="I54" i="10"/>
  <c r="P54" i="10" s="1"/>
  <c r="AD54" i="10" s="1"/>
  <c r="I53" i="10"/>
  <c r="P53" i="10" s="1"/>
  <c r="I51" i="10"/>
  <c r="P51" i="10" s="1"/>
  <c r="AD51" i="10" s="1"/>
  <c r="I50" i="10"/>
  <c r="P50" i="10" s="1"/>
  <c r="AD50" i="10" s="1"/>
  <c r="I49" i="10"/>
  <c r="P49" i="10" s="1"/>
  <c r="AD49" i="10" s="1"/>
  <c r="J55" i="10"/>
  <c r="J54" i="10"/>
  <c r="Q54" i="10" s="1"/>
  <c r="AE54" i="10" s="1"/>
  <c r="J53" i="10"/>
  <c r="Q53" i="10" s="1"/>
  <c r="AE53" i="10" s="1"/>
  <c r="J51" i="10"/>
  <c r="Q51" i="10" s="1"/>
  <c r="J50" i="10"/>
  <c r="Q50" i="10" s="1"/>
  <c r="AE50" i="10" s="1"/>
  <c r="J49" i="10"/>
  <c r="Q49" i="10" s="1"/>
  <c r="AE49" i="10" s="1"/>
  <c r="H55" i="10"/>
  <c r="O55" i="10" s="1"/>
  <c r="AC55" i="10" s="1"/>
  <c r="H54" i="10"/>
  <c r="O54" i="10" s="1"/>
  <c r="AC54" i="10" s="1"/>
  <c r="H53" i="10"/>
  <c r="H51" i="10"/>
  <c r="O51" i="10" s="1"/>
  <c r="H50" i="10"/>
  <c r="O50" i="10" s="1"/>
  <c r="H49" i="10"/>
  <c r="G55" i="10"/>
  <c r="N55" i="10" s="1"/>
  <c r="AB55" i="10" s="1"/>
  <c r="G54" i="10"/>
  <c r="G53" i="10"/>
  <c r="K53" i="10" s="1"/>
  <c r="R53" i="10" s="1"/>
  <c r="G51" i="10"/>
  <c r="G52" i="10" s="1"/>
  <c r="G50" i="10"/>
  <c r="G49" i="10"/>
  <c r="I52" i="10" l="1"/>
  <c r="P52" i="10" s="1"/>
  <c r="AD52" i="10" s="1"/>
  <c r="Z51" i="10"/>
  <c r="AE51" i="10"/>
  <c r="AD53" i="10"/>
  <c r="L54" i="10"/>
  <c r="S54" i="10" s="1"/>
  <c r="AC50" i="10"/>
  <c r="L49" i="10"/>
  <c r="S49" i="10" s="1"/>
  <c r="AC51" i="10"/>
  <c r="Y51" i="10"/>
  <c r="L50" i="10"/>
  <c r="S50" i="10" s="1"/>
  <c r="L53" i="10"/>
  <c r="S53" i="10" s="1"/>
  <c r="K55" i="10"/>
  <c r="R55" i="10" s="1"/>
  <c r="N53" i="10"/>
  <c r="AB53" i="10" s="1"/>
  <c r="Z52" i="10"/>
  <c r="AF55" i="10"/>
  <c r="AG55" i="10"/>
  <c r="AG50" i="10"/>
  <c r="AF50" i="10"/>
  <c r="AF54" i="10"/>
  <c r="AG54" i="10"/>
  <c r="J52" i="10"/>
  <c r="Q52" i="10" s="1"/>
  <c r="AE52" i="10" s="1"/>
  <c r="Z53" i="10"/>
  <c r="H52" i="10"/>
  <c r="O52" i="10" s="1"/>
  <c r="AC52" i="10" s="1"/>
  <c r="Z50" i="10"/>
  <c r="K49" i="10"/>
  <c r="R49" i="10" s="1"/>
  <c r="N52" i="10"/>
  <c r="AB52" i="10" s="1"/>
  <c r="K51" i="10"/>
  <c r="R51" i="10" s="1"/>
  <c r="L51" i="10"/>
  <c r="S51" i="10" s="1"/>
  <c r="N49" i="10"/>
  <c r="AB49" i="10" s="1"/>
  <c r="O53" i="10"/>
  <c r="AC53" i="10" s="1"/>
  <c r="AG53" i="10" s="1"/>
  <c r="K50" i="10"/>
  <c r="R50" i="10" s="1"/>
  <c r="K54" i="10"/>
  <c r="R54" i="10" s="1"/>
  <c r="N51" i="10"/>
  <c r="AB51" i="10" s="1"/>
  <c r="Y52" i="10"/>
  <c r="F179" i="9"/>
  <c r="AH54" i="10" l="1"/>
  <c r="K54" i="3" s="1"/>
  <c r="AF53" i="10"/>
  <c r="AH53" i="10" s="1"/>
  <c r="K53" i="3" s="1"/>
  <c r="AF52" i="10"/>
  <c r="AG52" i="10"/>
  <c r="AF51" i="10"/>
  <c r="AG51" i="10"/>
  <c r="K52" i="10"/>
  <c r="R52" i="10" s="1"/>
  <c r="AF49" i="10"/>
  <c r="AG49" i="10"/>
  <c r="AH55" i="10"/>
  <c r="K55" i="3" s="1"/>
  <c r="L52" i="10"/>
  <c r="S52" i="10" s="1"/>
  <c r="AH50" i="10"/>
  <c r="K50" i="3" s="1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28" i="3"/>
  <c r="H28" i="3"/>
  <c r="G28" i="3"/>
  <c r="F28" i="3"/>
  <c r="I22" i="3"/>
  <c r="H22" i="3"/>
  <c r="G22" i="3"/>
  <c r="F22" i="3"/>
  <c r="I16" i="3"/>
  <c r="H16" i="3"/>
  <c r="G16" i="3"/>
  <c r="F16" i="3"/>
  <c r="I10" i="3"/>
  <c r="H10" i="3"/>
  <c r="G10" i="3"/>
  <c r="F10" i="3"/>
  <c r="I4" i="3"/>
  <c r="H4" i="3"/>
  <c r="G4" i="3"/>
  <c r="F4" i="3"/>
  <c r="AH52" i="10" l="1"/>
  <c r="K52" i="3" s="1"/>
  <c r="P52" i="3" s="1"/>
  <c r="O50" i="3"/>
  <c r="N50" i="3"/>
  <c r="P50" i="3"/>
  <c r="M50" i="3"/>
  <c r="N53" i="3"/>
  <c r="O53" i="3"/>
  <c r="M53" i="3"/>
  <c r="P53" i="3"/>
  <c r="AH49" i="10"/>
  <c r="K49" i="3" s="1"/>
  <c r="P55" i="3"/>
  <c r="O55" i="3"/>
  <c r="N55" i="3"/>
  <c r="M55" i="3"/>
  <c r="O54" i="3"/>
  <c r="P54" i="3"/>
  <c r="M54" i="3"/>
  <c r="N54" i="3"/>
  <c r="AH51" i="10"/>
  <c r="K51" i="3" s="1"/>
  <c r="Z46" i="10"/>
  <c r="Z45" i="10"/>
  <c r="Z44" i="10"/>
  <c r="Z43" i="10"/>
  <c r="Z42" i="10"/>
  <c r="Z41" i="10"/>
  <c r="Z40" i="10"/>
  <c r="Z39" i="10"/>
  <c r="Z38" i="10"/>
  <c r="Z37" i="10"/>
  <c r="Z36" i="10"/>
  <c r="Z35" i="10"/>
  <c r="M52" i="3" l="1"/>
  <c r="N52" i="3"/>
  <c r="O52" i="3"/>
  <c r="N49" i="3"/>
  <c r="P49" i="3"/>
  <c r="O49" i="3"/>
  <c r="M49" i="3"/>
  <c r="P51" i="3"/>
  <c r="O51" i="3"/>
  <c r="N51" i="3"/>
  <c r="M51" i="3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X5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AF174" i="8"/>
  <c r="BO174" i="8" s="1"/>
  <c r="AE174" i="8"/>
  <c r="BN174" i="8" s="1"/>
  <c r="AD174" i="8"/>
  <c r="BM174" i="8" s="1"/>
  <c r="AC174" i="8"/>
  <c r="BL174" i="8" s="1"/>
  <c r="AF173" i="8"/>
  <c r="BO173" i="8" s="1"/>
  <c r="AE173" i="8"/>
  <c r="BN173" i="8" s="1"/>
  <c r="AD173" i="8"/>
  <c r="BM173" i="8" s="1"/>
  <c r="AC173" i="8"/>
  <c r="BL173" i="8" s="1"/>
  <c r="AF172" i="8"/>
  <c r="BO172" i="8" s="1"/>
  <c r="AE172" i="8"/>
  <c r="BN172" i="8" s="1"/>
  <c r="AD172" i="8"/>
  <c r="BM172" i="8" s="1"/>
  <c r="AC172" i="8"/>
  <c r="BL172" i="8" s="1"/>
  <c r="AF171" i="8"/>
  <c r="BO171" i="8" s="1"/>
  <c r="AE171" i="8"/>
  <c r="BN171" i="8" s="1"/>
  <c r="AD171" i="8"/>
  <c r="BM171" i="8" s="1"/>
  <c r="AC171" i="8"/>
  <c r="BL171" i="8" s="1"/>
  <c r="AF170" i="8"/>
  <c r="BO170" i="8" s="1"/>
  <c r="AE170" i="8"/>
  <c r="BN170" i="8" s="1"/>
  <c r="AD170" i="8"/>
  <c r="BM170" i="8" s="1"/>
  <c r="AC170" i="8"/>
  <c r="BL170" i="8" s="1"/>
  <c r="AF169" i="8"/>
  <c r="BO169" i="8" s="1"/>
  <c r="AE169" i="8"/>
  <c r="BN169" i="8" s="1"/>
  <c r="AD169" i="8"/>
  <c r="BM169" i="8" s="1"/>
  <c r="AC169" i="8"/>
  <c r="BL169" i="8" s="1"/>
  <c r="AF168" i="8"/>
  <c r="BO168" i="8" s="1"/>
  <c r="AE168" i="8"/>
  <c r="BN168" i="8" s="1"/>
  <c r="AD168" i="8"/>
  <c r="BM168" i="8" s="1"/>
  <c r="AC168" i="8"/>
  <c r="BL168" i="8" s="1"/>
  <c r="AF167" i="8"/>
  <c r="BO167" i="8" s="1"/>
  <c r="AE167" i="8"/>
  <c r="BN167" i="8" s="1"/>
  <c r="AD167" i="8"/>
  <c r="BM167" i="8" s="1"/>
  <c r="AC167" i="8"/>
  <c r="BL167" i="8" s="1"/>
  <c r="AF165" i="8"/>
  <c r="BO165" i="8" s="1"/>
  <c r="AE165" i="8"/>
  <c r="BN165" i="8" s="1"/>
  <c r="AD165" i="8"/>
  <c r="BM165" i="8" s="1"/>
  <c r="AC165" i="8"/>
  <c r="BL165" i="8" s="1"/>
  <c r="AF164" i="8"/>
  <c r="BO164" i="8" s="1"/>
  <c r="AE164" i="8"/>
  <c r="BN164" i="8" s="1"/>
  <c r="AD164" i="8"/>
  <c r="BM164" i="8" s="1"/>
  <c r="AC164" i="8"/>
  <c r="BL164" i="8" s="1"/>
  <c r="AF163" i="8"/>
  <c r="BO163" i="8" s="1"/>
  <c r="AE163" i="8"/>
  <c r="BN163" i="8" s="1"/>
  <c r="AD163" i="8"/>
  <c r="BM163" i="8" s="1"/>
  <c r="AC163" i="8"/>
  <c r="BL163" i="8" s="1"/>
  <c r="AF162" i="8"/>
  <c r="BO162" i="8" s="1"/>
  <c r="AE162" i="8"/>
  <c r="BN162" i="8" s="1"/>
  <c r="AD162" i="8"/>
  <c r="BM162" i="8" s="1"/>
  <c r="AC162" i="8"/>
  <c r="BL162" i="8" s="1"/>
  <c r="AF161" i="8"/>
  <c r="BO161" i="8" s="1"/>
  <c r="AE161" i="8"/>
  <c r="BN161" i="8" s="1"/>
  <c r="AD161" i="8"/>
  <c r="BM161" i="8" s="1"/>
  <c r="AC161" i="8"/>
  <c r="BL161" i="8" s="1"/>
  <c r="AF160" i="8"/>
  <c r="BO160" i="8" s="1"/>
  <c r="AE160" i="8"/>
  <c r="BN160" i="8" s="1"/>
  <c r="AD160" i="8"/>
  <c r="BM160" i="8" s="1"/>
  <c r="AC160" i="8"/>
  <c r="BL160" i="8" s="1"/>
  <c r="AF159" i="8"/>
  <c r="BO159" i="8" s="1"/>
  <c r="AE159" i="8"/>
  <c r="BN159" i="8" s="1"/>
  <c r="AD159" i="8"/>
  <c r="BM159" i="8" s="1"/>
  <c r="AC159" i="8"/>
  <c r="BL159" i="8" s="1"/>
  <c r="AF158" i="8"/>
  <c r="BO158" i="8" s="1"/>
  <c r="AE158" i="8"/>
  <c r="BN158" i="8" s="1"/>
  <c r="AD158" i="8"/>
  <c r="BM158" i="8" s="1"/>
  <c r="AC158" i="8"/>
  <c r="BL158" i="8" s="1"/>
  <c r="AF157" i="8"/>
  <c r="BO157" i="8" s="1"/>
  <c r="AE157" i="8"/>
  <c r="BN157" i="8" s="1"/>
  <c r="AD157" i="8"/>
  <c r="BM157" i="8" s="1"/>
  <c r="AC157" i="8"/>
  <c r="BL157" i="8" s="1"/>
  <c r="AF156" i="8"/>
  <c r="BO156" i="8" s="1"/>
  <c r="AE156" i="8"/>
  <c r="BN156" i="8" s="1"/>
  <c r="AD156" i="8"/>
  <c r="BM156" i="8" s="1"/>
  <c r="AC156" i="8"/>
  <c r="BL156" i="8" s="1"/>
  <c r="AF155" i="8"/>
  <c r="BO155" i="8" s="1"/>
  <c r="AE155" i="8"/>
  <c r="BN155" i="8" s="1"/>
  <c r="AD155" i="8"/>
  <c r="BM155" i="8" s="1"/>
  <c r="AC155" i="8"/>
  <c r="BL155" i="8" s="1"/>
  <c r="AF154" i="8"/>
  <c r="BO154" i="8" s="1"/>
  <c r="AE154" i="8"/>
  <c r="BN154" i="8" s="1"/>
  <c r="AD154" i="8"/>
  <c r="BM154" i="8" s="1"/>
  <c r="AC154" i="8"/>
  <c r="BL154" i="8" s="1"/>
  <c r="AF153" i="8"/>
  <c r="BO153" i="8" s="1"/>
  <c r="AE153" i="8"/>
  <c r="BN153" i="8" s="1"/>
  <c r="AD153" i="8"/>
  <c r="BM153" i="8" s="1"/>
  <c r="AC153" i="8"/>
  <c r="BL153" i="8" s="1"/>
  <c r="AF152" i="8"/>
  <c r="BO152" i="8" s="1"/>
  <c r="AE152" i="8"/>
  <c r="BN152" i="8" s="1"/>
  <c r="AD152" i="8"/>
  <c r="BM152" i="8" s="1"/>
  <c r="AC152" i="8"/>
  <c r="BL152" i="8" s="1"/>
  <c r="AF151" i="8"/>
  <c r="BO151" i="8" s="1"/>
  <c r="AE151" i="8"/>
  <c r="BN151" i="8" s="1"/>
  <c r="AD151" i="8"/>
  <c r="BM151" i="8" s="1"/>
  <c r="AC151" i="8"/>
  <c r="BL151" i="8" s="1"/>
  <c r="AF150" i="8"/>
  <c r="BO150" i="8" s="1"/>
  <c r="AE150" i="8"/>
  <c r="BN150" i="8" s="1"/>
  <c r="AD150" i="8"/>
  <c r="BM150" i="8" s="1"/>
  <c r="AC150" i="8"/>
  <c r="BL150" i="8" s="1"/>
  <c r="AF149" i="8"/>
  <c r="BO149" i="8" s="1"/>
  <c r="AE149" i="8"/>
  <c r="BN149" i="8" s="1"/>
  <c r="AD149" i="8"/>
  <c r="BM149" i="8" s="1"/>
  <c r="AC149" i="8"/>
  <c r="BL149" i="8" s="1"/>
  <c r="AF148" i="8"/>
  <c r="BO148" i="8" s="1"/>
  <c r="AE148" i="8"/>
  <c r="BN148" i="8" s="1"/>
  <c r="AD148" i="8"/>
  <c r="BM148" i="8" s="1"/>
  <c r="AC148" i="8"/>
  <c r="BL148" i="8" s="1"/>
  <c r="AF147" i="8"/>
  <c r="BO147" i="8" s="1"/>
  <c r="AE147" i="8"/>
  <c r="BN147" i="8" s="1"/>
  <c r="AD147" i="8"/>
  <c r="BM147" i="8" s="1"/>
  <c r="AC147" i="8"/>
  <c r="BL147" i="8" s="1"/>
  <c r="AF146" i="8"/>
  <c r="BO146" i="8" s="1"/>
  <c r="AE146" i="8"/>
  <c r="BN146" i="8" s="1"/>
  <c r="AD146" i="8"/>
  <c r="BM146" i="8" s="1"/>
  <c r="AC146" i="8"/>
  <c r="BL146" i="8" s="1"/>
  <c r="AF145" i="8"/>
  <c r="BO145" i="8" s="1"/>
  <c r="AE145" i="8"/>
  <c r="BN145" i="8" s="1"/>
  <c r="AD145" i="8"/>
  <c r="BM145" i="8" s="1"/>
  <c r="AC145" i="8"/>
  <c r="BL145" i="8" s="1"/>
  <c r="AF144" i="8"/>
  <c r="BO144" i="8" s="1"/>
  <c r="AE144" i="8"/>
  <c r="BN144" i="8" s="1"/>
  <c r="AD144" i="8"/>
  <c r="BM144" i="8" s="1"/>
  <c r="AC144" i="8"/>
  <c r="BL144" i="8" s="1"/>
  <c r="AF143" i="8"/>
  <c r="BO143" i="8" s="1"/>
  <c r="AE143" i="8"/>
  <c r="BN143" i="8" s="1"/>
  <c r="AD143" i="8"/>
  <c r="BM143" i="8" s="1"/>
  <c r="AC143" i="8"/>
  <c r="BL143" i="8" s="1"/>
  <c r="AF142" i="8"/>
  <c r="BO142" i="8" s="1"/>
  <c r="AE142" i="8"/>
  <c r="BN142" i="8" s="1"/>
  <c r="AD142" i="8"/>
  <c r="BM142" i="8" s="1"/>
  <c r="AC142" i="8"/>
  <c r="BL142" i="8" s="1"/>
  <c r="AF141" i="8"/>
  <c r="BO141" i="8" s="1"/>
  <c r="AE141" i="8"/>
  <c r="BN141" i="8" s="1"/>
  <c r="AD141" i="8"/>
  <c r="BM141" i="8" s="1"/>
  <c r="AC141" i="8"/>
  <c r="BL141" i="8" s="1"/>
  <c r="AF140" i="8"/>
  <c r="BO140" i="8" s="1"/>
  <c r="AE140" i="8"/>
  <c r="BN140" i="8" s="1"/>
  <c r="AD140" i="8"/>
  <c r="BM140" i="8" s="1"/>
  <c r="AC140" i="8"/>
  <c r="BL140" i="8" s="1"/>
  <c r="AF139" i="8"/>
  <c r="BO139" i="8" s="1"/>
  <c r="AE139" i="8"/>
  <c r="BN139" i="8" s="1"/>
  <c r="AD139" i="8"/>
  <c r="BM139" i="8" s="1"/>
  <c r="AC139" i="8"/>
  <c r="BL139" i="8" s="1"/>
  <c r="AF138" i="8"/>
  <c r="BO138" i="8" s="1"/>
  <c r="AE138" i="8"/>
  <c r="BN138" i="8" s="1"/>
  <c r="AD138" i="8"/>
  <c r="BM138" i="8" s="1"/>
  <c r="AC138" i="8"/>
  <c r="BL138" i="8" s="1"/>
  <c r="AF137" i="8"/>
  <c r="BO137" i="8" s="1"/>
  <c r="AE137" i="8"/>
  <c r="BN137" i="8" s="1"/>
  <c r="AD137" i="8"/>
  <c r="BM137" i="8" s="1"/>
  <c r="AC137" i="8"/>
  <c r="BL137" i="8" s="1"/>
  <c r="AF136" i="8"/>
  <c r="BO136" i="8" s="1"/>
  <c r="AE136" i="8"/>
  <c r="BN136" i="8" s="1"/>
  <c r="AD136" i="8"/>
  <c r="BM136" i="8" s="1"/>
  <c r="AC136" i="8"/>
  <c r="BL136" i="8" s="1"/>
  <c r="AF135" i="8"/>
  <c r="BO135" i="8" s="1"/>
  <c r="AE135" i="8"/>
  <c r="BN135" i="8" s="1"/>
  <c r="AD135" i="8"/>
  <c r="BM135" i="8" s="1"/>
  <c r="AC135" i="8"/>
  <c r="BL135" i="8" s="1"/>
  <c r="AF134" i="8"/>
  <c r="BO134" i="8" s="1"/>
  <c r="AE134" i="8"/>
  <c r="BN134" i="8" s="1"/>
  <c r="AD134" i="8"/>
  <c r="BM134" i="8" s="1"/>
  <c r="AC134" i="8"/>
  <c r="BL134" i="8" s="1"/>
  <c r="AF133" i="8"/>
  <c r="BO133" i="8" s="1"/>
  <c r="AE133" i="8"/>
  <c r="BN133" i="8" s="1"/>
  <c r="AD133" i="8"/>
  <c r="BM133" i="8" s="1"/>
  <c r="AC133" i="8"/>
  <c r="BL133" i="8" s="1"/>
  <c r="AF132" i="8"/>
  <c r="BO132" i="8" s="1"/>
  <c r="AE132" i="8"/>
  <c r="BN132" i="8" s="1"/>
  <c r="AD132" i="8"/>
  <c r="BM132" i="8" s="1"/>
  <c r="AC132" i="8"/>
  <c r="BL132" i="8" s="1"/>
  <c r="AF131" i="8"/>
  <c r="BO131" i="8" s="1"/>
  <c r="AE131" i="8"/>
  <c r="BN131" i="8" s="1"/>
  <c r="AD131" i="8"/>
  <c r="BM131" i="8" s="1"/>
  <c r="AC131" i="8"/>
  <c r="BL131" i="8" s="1"/>
  <c r="AF130" i="8"/>
  <c r="BO130" i="8" s="1"/>
  <c r="AE130" i="8"/>
  <c r="BN130" i="8" s="1"/>
  <c r="AD130" i="8"/>
  <c r="BM130" i="8" s="1"/>
  <c r="AC130" i="8"/>
  <c r="BL130" i="8" s="1"/>
  <c r="AF129" i="8"/>
  <c r="BO129" i="8" s="1"/>
  <c r="AE129" i="8"/>
  <c r="BN129" i="8" s="1"/>
  <c r="AD129" i="8"/>
  <c r="BM129" i="8" s="1"/>
  <c r="AC129" i="8"/>
  <c r="BL129" i="8" s="1"/>
  <c r="AF128" i="8"/>
  <c r="BO128" i="8" s="1"/>
  <c r="AE128" i="8"/>
  <c r="BN128" i="8" s="1"/>
  <c r="AD128" i="8"/>
  <c r="BM128" i="8" s="1"/>
  <c r="AC128" i="8"/>
  <c r="BL128" i="8" s="1"/>
  <c r="AF127" i="8"/>
  <c r="BO127" i="8" s="1"/>
  <c r="AE127" i="8"/>
  <c r="BN127" i="8" s="1"/>
  <c r="AD127" i="8"/>
  <c r="BM127" i="8" s="1"/>
  <c r="AC127" i="8"/>
  <c r="BL127" i="8" s="1"/>
  <c r="AF126" i="8"/>
  <c r="BO126" i="8" s="1"/>
  <c r="AE126" i="8"/>
  <c r="BN126" i="8" s="1"/>
  <c r="AD126" i="8"/>
  <c r="BM126" i="8" s="1"/>
  <c r="AC126" i="8"/>
  <c r="BL126" i="8" s="1"/>
  <c r="AF125" i="8"/>
  <c r="BO125" i="8" s="1"/>
  <c r="AE125" i="8"/>
  <c r="BN125" i="8" s="1"/>
  <c r="AD125" i="8"/>
  <c r="BM125" i="8" s="1"/>
  <c r="AC125" i="8"/>
  <c r="BL125" i="8" s="1"/>
  <c r="AF124" i="8"/>
  <c r="BO124" i="8" s="1"/>
  <c r="AE124" i="8"/>
  <c r="BN124" i="8" s="1"/>
  <c r="AD124" i="8"/>
  <c r="BM124" i="8" s="1"/>
  <c r="AC124" i="8"/>
  <c r="BL124" i="8" s="1"/>
  <c r="AF123" i="8"/>
  <c r="BO123" i="8" s="1"/>
  <c r="AE123" i="8"/>
  <c r="BN123" i="8" s="1"/>
  <c r="AD123" i="8"/>
  <c r="BM123" i="8" s="1"/>
  <c r="AC123" i="8"/>
  <c r="BL123" i="8" s="1"/>
  <c r="AF122" i="8"/>
  <c r="BO122" i="8" s="1"/>
  <c r="AE122" i="8"/>
  <c r="BN122" i="8" s="1"/>
  <c r="AD122" i="8"/>
  <c r="BM122" i="8" s="1"/>
  <c r="AC122" i="8"/>
  <c r="BL122" i="8" s="1"/>
  <c r="AF121" i="8"/>
  <c r="BO121" i="8" s="1"/>
  <c r="AE121" i="8"/>
  <c r="BN121" i="8" s="1"/>
  <c r="AD121" i="8"/>
  <c r="BM121" i="8" s="1"/>
  <c r="AC121" i="8"/>
  <c r="BL121" i="8" s="1"/>
  <c r="AF120" i="8"/>
  <c r="BO120" i="8" s="1"/>
  <c r="AE120" i="8"/>
  <c r="BN120" i="8" s="1"/>
  <c r="AD120" i="8"/>
  <c r="BM120" i="8" s="1"/>
  <c r="AC120" i="8"/>
  <c r="BL120" i="8" s="1"/>
  <c r="AF119" i="8"/>
  <c r="BO119" i="8" s="1"/>
  <c r="AE119" i="8"/>
  <c r="BN119" i="8" s="1"/>
  <c r="AD119" i="8"/>
  <c r="BM119" i="8" s="1"/>
  <c r="AC119" i="8"/>
  <c r="BL119" i="8" s="1"/>
  <c r="AF118" i="8"/>
  <c r="BO118" i="8" s="1"/>
  <c r="AE118" i="8"/>
  <c r="BN118" i="8" s="1"/>
  <c r="AD118" i="8"/>
  <c r="BM118" i="8" s="1"/>
  <c r="AC118" i="8"/>
  <c r="BL118" i="8" s="1"/>
  <c r="AF117" i="8"/>
  <c r="BO117" i="8" s="1"/>
  <c r="AE117" i="8"/>
  <c r="BN117" i="8" s="1"/>
  <c r="AD117" i="8"/>
  <c r="BM117" i="8" s="1"/>
  <c r="AC117" i="8"/>
  <c r="BL117" i="8" s="1"/>
  <c r="AF107" i="8"/>
  <c r="BO107" i="8" s="1"/>
  <c r="BO108" i="8" s="1"/>
  <c r="AE107" i="8"/>
  <c r="AD107" i="8"/>
  <c r="AC107" i="8"/>
  <c r="BL107" i="8" s="1"/>
  <c r="BL108" i="8" s="1"/>
  <c r="AF116" i="8"/>
  <c r="BO116" i="8" s="1"/>
  <c r="AE116" i="8"/>
  <c r="BN116" i="8" s="1"/>
  <c r="AD116" i="8"/>
  <c r="BM116" i="8" s="1"/>
  <c r="AC116" i="8"/>
  <c r="BL116" i="8" s="1"/>
  <c r="AF115" i="8"/>
  <c r="BO115" i="8" s="1"/>
  <c r="AE115" i="8"/>
  <c r="BN115" i="8" s="1"/>
  <c r="AD115" i="8"/>
  <c r="BM115" i="8" s="1"/>
  <c r="AC115" i="8"/>
  <c r="BL115" i="8" s="1"/>
  <c r="AF114" i="8"/>
  <c r="BO114" i="8" s="1"/>
  <c r="AE114" i="8"/>
  <c r="BN114" i="8" s="1"/>
  <c r="AD114" i="8"/>
  <c r="BM114" i="8" s="1"/>
  <c r="AC114" i="8"/>
  <c r="BL114" i="8" s="1"/>
  <c r="AF113" i="8"/>
  <c r="BO113" i="8" s="1"/>
  <c r="AE113" i="8"/>
  <c r="BN113" i="8" s="1"/>
  <c r="AD113" i="8"/>
  <c r="BM113" i="8" s="1"/>
  <c r="AC113" i="8"/>
  <c r="BL113" i="8" s="1"/>
  <c r="AF112" i="8"/>
  <c r="BO112" i="8" s="1"/>
  <c r="AE112" i="8"/>
  <c r="BN112" i="8" s="1"/>
  <c r="AD112" i="8"/>
  <c r="BM112" i="8" s="1"/>
  <c r="AC112" i="8"/>
  <c r="BL112" i="8" s="1"/>
  <c r="AF111" i="8"/>
  <c r="BO111" i="8" s="1"/>
  <c r="AE111" i="8"/>
  <c r="BN111" i="8" s="1"/>
  <c r="AD111" i="8"/>
  <c r="BM111" i="8" s="1"/>
  <c r="AC111" i="8"/>
  <c r="BL111" i="8" s="1"/>
  <c r="AF110" i="8"/>
  <c r="BO110" i="8" s="1"/>
  <c r="AE110" i="8"/>
  <c r="BN110" i="8" s="1"/>
  <c r="AD110" i="8"/>
  <c r="BM110" i="8" s="1"/>
  <c r="AC110" i="8"/>
  <c r="BL110" i="8" s="1"/>
  <c r="AF109" i="8"/>
  <c r="AE109" i="8"/>
  <c r="AD109" i="8"/>
  <c r="AC109" i="8"/>
  <c r="AF105" i="8"/>
  <c r="BO105" i="8" s="1"/>
  <c r="AE105" i="8"/>
  <c r="BN105" i="8" s="1"/>
  <c r="AD105" i="8"/>
  <c r="BM105" i="8" s="1"/>
  <c r="AC105" i="8"/>
  <c r="BL105" i="8" s="1"/>
  <c r="AF104" i="8"/>
  <c r="BO104" i="8" s="1"/>
  <c r="AE104" i="8"/>
  <c r="BN104" i="8" s="1"/>
  <c r="AD104" i="8"/>
  <c r="BM104" i="8" s="1"/>
  <c r="AC104" i="8"/>
  <c r="BL104" i="8" s="1"/>
  <c r="AF103" i="8"/>
  <c r="BO103" i="8" s="1"/>
  <c r="AE103" i="8"/>
  <c r="BN103" i="8" s="1"/>
  <c r="AD103" i="8"/>
  <c r="BM103" i="8" s="1"/>
  <c r="AC103" i="8"/>
  <c r="BL103" i="8" s="1"/>
  <c r="AF102" i="8"/>
  <c r="BO102" i="8" s="1"/>
  <c r="AE102" i="8"/>
  <c r="BN102" i="8" s="1"/>
  <c r="AD102" i="8"/>
  <c r="BM102" i="8" s="1"/>
  <c r="AC102" i="8"/>
  <c r="BL102" i="8" s="1"/>
  <c r="AF101" i="8"/>
  <c r="BO101" i="8" s="1"/>
  <c r="AE101" i="8"/>
  <c r="BN101" i="8" s="1"/>
  <c r="AD101" i="8"/>
  <c r="BM101" i="8" s="1"/>
  <c r="AC101" i="8"/>
  <c r="BL101" i="8" s="1"/>
  <c r="AF100" i="8"/>
  <c r="BO100" i="8" s="1"/>
  <c r="AE100" i="8"/>
  <c r="BN100" i="8" s="1"/>
  <c r="AD100" i="8"/>
  <c r="BM100" i="8" s="1"/>
  <c r="AC100" i="8"/>
  <c r="BL100" i="8" s="1"/>
  <c r="AF99" i="8"/>
  <c r="BO99" i="8" s="1"/>
  <c r="AE99" i="8"/>
  <c r="BN99" i="8" s="1"/>
  <c r="AD99" i="8"/>
  <c r="BM99" i="8" s="1"/>
  <c r="AC99" i="8"/>
  <c r="BL99" i="8" s="1"/>
  <c r="AF98" i="8"/>
  <c r="BO98" i="8" s="1"/>
  <c r="AE98" i="8"/>
  <c r="BN98" i="8" s="1"/>
  <c r="AD98" i="8"/>
  <c r="BM98" i="8" s="1"/>
  <c r="AC98" i="8"/>
  <c r="BL98" i="8" s="1"/>
  <c r="AF97" i="8"/>
  <c r="BO97" i="8" s="1"/>
  <c r="AE97" i="8"/>
  <c r="BN97" i="8" s="1"/>
  <c r="AD97" i="8"/>
  <c r="BM97" i="8" s="1"/>
  <c r="AC97" i="8"/>
  <c r="BL97" i="8" s="1"/>
  <c r="AF96" i="8"/>
  <c r="BO96" i="8" s="1"/>
  <c r="AE96" i="8"/>
  <c r="BN96" i="8" s="1"/>
  <c r="AD96" i="8"/>
  <c r="BM96" i="8" s="1"/>
  <c r="AC96" i="8"/>
  <c r="BL96" i="8" s="1"/>
  <c r="AF95" i="8"/>
  <c r="BO95" i="8" s="1"/>
  <c r="AE95" i="8"/>
  <c r="BN95" i="8" s="1"/>
  <c r="AD95" i="8"/>
  <c r="BM95" i="8" s="1"/>
  <c r="AC95" i="8"/>
  <c r="BL95" i="8" s="1"/>
  <c r="AF94" i="8"/>
  <c r="BO94" i="8" s="1"/>
  <c r="AE94" i="8"/>
  <c r="BN94" i="8" s="1"/>
  <c r="AD94" i="8"/>
  <c r="BM94" i="8" s="1"/>
  <c r="AC94" i="8"/>
  <c r="BL94" i="8" s="1"/>
  <c r="AF93" i="8"/>
  <c r="BO93" i="8" s="1"/>
  <c r="AE93" i="8"/>
  <c r="BN93" i="8" s="1"/>
  <c r="AD93" i="8"/>
  <c r="BM93" i="8" s="1"/>
  <c r="AC93" i="8"/>
  <c r="BL93" i="8" s="1"/>
  <c r="AF92" i="8"/>
  <c r="BO92" i="8" s="1"/>
  <c r="AE92" i="8"/>
  <c r="BN92" i="8" s="1"/>
  <c r="AD92" i="8"/>
  <c r="BM92" i="8" s="1"/>
  <c r="AC92" i="8"/>
  <c r="BL92" i="8" s="1"/>
  <c r="AF91" i="8"/>
  <c r="BO91" i="8" s="1"/>
  <c r="AE91" i="8"/>
  <c r="BN91" i="8" s="1"/>
  <c r="AD91" i="8"/>
  <c r="BM91" i="8" s="1"/>
  <c r="AC91" i="8"/>
  <c r="BL91" i="8" s="1"/>
  <c r="AF90" i="8"/>
  <c r="BO90" i="8" s="1"/>
  <c r="AE90" i="8"/>
  <c r="BN90" i="8" s="1"/>
  <c r="AD90" i="8"/>
  <c r="BM90" i="8" s="1"/>
  <c r="AC90" i="8"/>
  <c r="BL90" i="8" s="1"/>
  <c r="AF89" i="8"/>
  <c r="BO89" i="8" s="1"/>
  <c r="AE89" i="8"/>
  <c r="BN89" i="8" s="1"/>
  <c r="AD89" i="8"/>
  <c r="BM89" i="8" s="1"/>
  <c r="AC89" i="8"/>
  <c r="BL89" i="8" s="1"/>
  <c r="AF88" i="8"/>
  <c r="BO88" i="8" s="1"/>
  <c r="AE88" i="8"/>
  <c r="BN88" i="8" s="1"/>
  <c r="AD88" i="8"/>
  <c r="BM88" i="8" s="1"/>
  <c r="AC88" i="8"/>
  <c r="BL88" i="8" s="1"/>
  <c r="AF87" i="8"/>
  <c r="BO87" i="8" s="1"/>
  <c r="AE87" i="8"/>
  <c r="BN87" i="8" s="1"/>
  <c r="AD87" i="8"/>
  <c r="BM87" i="8" s="1"/>
  <c r="AC87" i="8"/>
  <c r="BL87" i="8" s="1"/>
  <c r="AF86" i="8"/>
  <c r="BO86" i="8" s="1"/>
  <c r="AE86" i="8"/>
  <c r="BN86" i="8" s="1"/>
  <c r="AD86" i="8"/>
  <c r="BM86" i="8" s="1"/>
  <c r="AC86" i="8"/>
  <c r="BL86" i="8" s="1"/>
  <c r="AF85" i="8"/>
  <c r="BO85" i="8" s="1"/>
  <c r="AE85" i="8"/>
  <c r="BN85" i="8" s="1"/>
  <c r="AD85" i="8"/>
  <c r="BM85" i="8" s="1"/>
  <c r="AC85" i="8"/>
  <c r="BL85" i="8" s="1"/>
  <c r="AF84" i="8"/>
  <c r="BO84" i="8" s="1"/>
  <c r="AE84" i="8"/>
  <c r="BN84" i="8" s="1"/>
  <c r="AD84" i="8"/>
  <c r="BM84" i="8" s="1"/>
  <c r="AC84" i="8"/>
  <c r="BL84" i="8" s="1"/>
  <c r="AF83" i="8"/>
  <c r="BO83" i="8" s="1"/>
  <c r="AE83" i="8"/>
  <c r="BN83" i="8" s="1"/>
  <c r="AD83" i="8"/>
  <c r="BM83" i="8" s="1"/>
  <c r="AC83" i="8"/>
  <c r="BL83" i="8" s="1"/>
  <c r="AF82" i="8"/>
  <c r="BO82" i="8" s="1"/>
  <c r="AE82" i="8"/>
  <c r="BN82" i="8" s="1"/>
  <c r="AD82" i="8"/>
  <c r="BM82" i="8" s="1"/>
  <c r="AC82" i="8"/>
  <c r="BL82" i="8" s="1"/>
  <c r="AF81" i="8"/>
  <c r="BO81" i="8" s="1"/>
  <c r="AE81" i="8"/>
  <c r="BN81" i="8" s="1"/>
  <c r="AD81" i="8"/>
  <c r="BM81" i="8" s="1"/>
  <c r="AC81" i="8"/>
  <c r="BL81" i="8" s="1"/>
  <c r="AF80" i="8"/>
  <c r="BO80" i="8" s="1"/>
  <c r="AE80" i="8"/>
  <c r="BN80" i="8" s="1"/>
  <c r="AD80" i="8"/>
  <c r="BM80" i="8" s="1"/>
  <c r="AC80" i="8"/>
  <c r="BL80" i="8" s="1"/>
  <c r="AF79" i="8"/>
  <c r="BO79" i="8" s="1"/>
  <c r="AE79" i="8"/>
  <c r="BN79" i="8" s="1"/>
  <c r="AD79" i="8"/>
  <c r="BM79" i="8" s="1"/>
  <c r="AC79" i="8"/>
  <c r="BL79" i="8" s="1"/>
  <c r="AF78" i="8"/>
  <c r="BO78" i="8" s="1"/>
  <c r="AE78" i="8"/>
  <c r="BN78" i="8" s="1"/>
  <c r="AD78" i="8"/>
  <c r="BM78" i="8" s="1"/>
  <c r="AC78" i="8"/>
  <c r="BL78" i="8" s="1"/>
  <c r="AF77" i="8"/>
  <c r="BO77" i="8" s="1"/>
  <c r="AE77" i="8"/>
  <c r="BN77" i="8" s="1"/>
  <c r="AD77" i="8"/>
  <c r="BM77" i="8" s="1"/>
  <c r="AC77" i="8"/>
  <c r="BL77" i="8" s="1"/>
  <c r="AF76" i="8"/>
  <c r="AE76" i="8"/>
  <c r="AD76" i="8"/>
  <c r="AC76" i="8"/>
  <c r="AF74" i="8"/>
  <c r="BO74" i="8" s="1"/>
  <c r="AE74" i="8"/>
  <c r="AD74" i="8"/>
  <c r="AC74" i="8"/>
  <c r="BL74" i="8" s="1"/>
  <c r="AF72" i="8"/>
  <c r="BO72" i="8" s="1"/>
  <c r="AE72" i="8"/>
  <c r="BN72" i="8" s="1"/>
  <c r="AD72" i="8"/>
  <c r="BM72" i="8" s="1"/>
  <c r="AC72" i="8"/>
  <c r="BL72" i="8" s="1"/>
  <c r="AF71" i="8"/>
  <c r="BO71" i="8" s="1"/>
  <c r="AE71" i="8"/>
  <c r="BN71" i="8" s="1"/>
  <c r="AD71" i="8"/>
  <c r="BM71" i="8" s="1"/>
  <c r="AC71" i="8"/>
  <c r="BL71" i="8" s="1"/>
  <c r="AF70" i="8"/>
  <c r="BO70" i="8" s="1"/>
  <c r="AE70" i="8"/>
  <c r="BN70" i="8" s="1"/>
  <c r="AD70" i="8"/>
  <c r="BM70" i="8" s="1"/>
  <c r="AC70" i="8"/>
  <c r="BL70" i="8" s="1"/>
  <c r="AF69" i="8"/>
  <c r="BO69" i="8" s="1"/>
  <c r="AE69" i="8"/>
  <c r="BN69" i="8" s="1"/>
  <c r="AD69" i="8"/>
  <c r="BM69" i="8" s="1"/>
  <c r="AC69" i="8"/>
  <c r="BL69" i="8" s="1"/>
  <c r="AF68" i="8"/>
  <c r="BO68" i="8" s="1"/>
  <c r="AE68" i="8"/>
  <c r="BN68" i="8" s="1"/>
  <c r="AD68" i="8"/>
  <c r="BM68" i="8" s="1"/>
  <c r="AC68" i="8"/>
  <c r="BL68" i="8" s="1"/>
  <c r="AF67" i="8"/>
  <c r="BO67" i="8" s="1"/>
  <c r="AE67" i="8"/>
  <c r="BN67" i="8" s="1"/>
  <c r="AD67" i="8"/>
  <c r="BM67" i="8" s="1"/>
  <c r="AC67" i="8"/>
  <c r="BL67" i="8" s="1"/>
  <c r="AF66" i="8"/>
  <c r="BO66" i="8" s="1"/>
  <c r="AE66" i="8"/>
  <c r="BN66" i="8" s="1"/>
  <c r="AD66" i="8"/>
  <c r="BM66" i="8" s="1"/>
  <c r="AC66" i="8"/>
  <c r="BL66" i="8" s="1"/>
  <c r="AF65" i="8"/>
  <c r="BO65" i="8" s="1"/>
  <c r="AE65" i="8"/>
  <c r="BN65" i="8" s="1"/>
  <c r="AD65" i="8"/>
  <c r="BM65" i="8" s="1"/>
  <c r="AC65" i="8"/>
  <c r="BL65" i="8" s="1"/>
  <c r="AF64" i="8"/>
  <c r="BO64" i="8" s="1"/>
  <c r="AE64" i="8"/>
  <c r="BN64" i="8" s="1"/>
  <c r="AD64" i="8"/>
  <c r="BM64" i="8" s="1"/>
  <c r="AC64" i="8"/>
  <c r="BL64" i="8" s="1"/>
  <c r="AF63" i="8"/>
  <c r="BO63" i="8" s="1"/>
  <c r="AE63" i="8"/>
  <c r="BN63" i="8" s="1"/>
  <c r="AD63" i="8"/>
  <c r="BM63" i="8" s="1"/>
  <c r="AC63" i="8"/>
  <c r="BL63" i="8" s="1"/>
  <c r="AF62" i="8"/>
  <c r="BO62" i="8" s="1"/>
  <c r="AE62" i="8"/>
  <c r="BN62" i="8" s="1"/>
  <c r="AD62" i="8"/>
  <c r="BM62" i="8" s="1"/>
  <c r="AC62" i="8"/>
  <c r="BL62" i="8" s="1"/>
  <c r="AF61" i="8"/>
  <c r="BO61" i="8" s="1"/>
  <c r="AE61" i="8"/>
  <c r="BN61" i="8" s="1"/>
  <c r="AD61" i="8"/>
  <c r="BM61" i="8" s="1"/>
  <c r="AC61" i="8"/>
  <c r="BL61" i="8" s="1"/>
  <c r="AF60" i="8"/>
  <c r="BO60" i="8" s="1"/>
  <c r="AE60" i="8"/>
  <c r="BN60" i="8" s="1"/>
  <c r="AD60" i="8"/>
  <c r="BM60" i="8" s="1"/>
  <c r="AC60" i="8"/>
  <c r="BL60" i="8" s="1"/>
  <c r="AF59" i="8"/>
  <c r="BO59" i="8" s="1"/>
  <c r="AE59" i="8"/>
  <c r="BN59" i="8" s="1"/>
  <c r="AD59" i="8"/>
  <c r="BM59" i="8" s="1"/>
  <c r="AC59" i="8"/>
  <c r="BL59" i="8" s="1"/>
  <c r="AF57" i="8"/>
  <c r="BO57" i="8" s="1"/>
  <c r="AE57" i="8"/>
  <c r="BN57" i="8" s="1"/>
  <c r="AD57" i="8"/>
  <c r="BM57" i="8" s="1"/>
  <c r="AC57" i="8"/>
  <c r="BL57" i="8" s="1"/>
  <c r="AF56" i="8"/>
  <c r="BO56" i="8" s="1"/>
  <c r="AE56" i="8"/>
  <c r="BN56" i="8" s="1"/>
  <c r="AD56" i="8"/>
  <c r="BM56" i="8" s="1"/>
  <c r="AC56" i="8"/>
  <c r="BL56" i="8" s="1"/>
  <c r="AF55" i="8"/>
  <c r="BO55" i="8" s="1"/>
  <c r="AE55" i="8"/>
  <c r="BN55" i="8" s="1"/>
  <c r="AD55" i="8"/>
  <c r="BM55" i="8" s="1"/>
  <c r="AC55" i="8"/>
  <c r="BL55" i="8" s="1"/>
  <c r="AF54" i="8"/>
  <c r="BO54" i="8" s="1"/>
  <c r="AE54" i="8"/>
  <c r="BN54" i="8" s="1"/>
  <c r="AD54" i="8"/>
  <c r="BM54" i="8" s="1"/>
  <c r="AC54" i="8"/>
  <c r="BL54" i="8" s="1"/>
  <c r="AF53" i="8"/>
  <c r="BO53" i="8" s="1"/>
  <c r="AE53" i="8"/>
  <c r="BN53" i="8" s="1"/>
  <c r="AD53" i="8"/>
  <c r="BM53" i="8" s="1"/>
  <c r="AC53" i="8"/>
  <c r="BL53" i="8" s="1"/>
  <c r="AF52" i="8"/>
  <c r="BO52" i="8" s="1"/>
  <c r="AE52" i="8"/>
  <c r="BN52" i="8" s="1"/>
  <c r="AD52" i="8"/>
  <c r="BM52" i="8" s="1"/>
  <c r="AC52" i="8"/>
  <c r="BL52" i="8" s="1"/>
  <c r="AF51" i="8"/>
  <c r="BO51" i="8" s="1"/>
  <c r="AE51" i="8"/>
  <c r="BN51" i="8" s="1"/>
  <c r="AD51" i="8"/>
  <c r="BM51" i="8" s="1"/>
  <c r="AC51" i="8"/>
  <c r="BL51" i="8" s="1"/>
  <c r="AF50" i="8"/>
  <c r="BO50" i="8" s="1"/>
  <c r="AE50" i="8"/>
  <c r="BN50" i="8" s="1"/>
  <c r="AD50" i="8"/>
  <c r="BM50" i="8" s="1"/>
  <c r="AC50" i="8"/>
  <c r="BL50" i="8" s="1"/>
  <c r="AF49" i="8"/>
  <c r="BO49" i="8" s="1"/>
  <c r="AE49" i="8"/>
  <c r="BN49" i="8" s="1"/>
  <c r="AD49" i="8"/>
  <c r="BM49" i="8" s="1"/>
  <c r="AC49" i="8"/>
  <c r="BL49" i="8" s="1"/>
  <c r="AF48" i="8"/>
  <c r="BO48" i="8" s="1"/>
  <c r="AE48" i="8"/>
  <c r="BN48" i="8" s="1"/>
  <c r="AD48" i="8"/>
  <c r="BM48" i="8" s="1"/>
  <c r="AC48" i="8"/>
  <c r="BL48" i="8" s="1"/>
  <c r="AF47" i="8"/>
  <c r="BO47" i="8" s="1"/>
  <c r="AE47" i="8"/>
  <c r="BN47" i="8" s="1"/>
  <c r="AD47" i="8"/>
  <c r="BM47" i="8" s="1"/>
  <c r="AC47" i="8"/>
  <c r="BL47" i="8" s="1"/>
  <c r="AF46" i="8"/>
  <c r="BO46" i="8" s="1"/>
  <c r="AE46" i="8"/>
  <c r="BN46" i="8" s="1"/>
  <c r="AD46" i="8"/>
  <c r="BM46" i="8" s="1"/>
  <c r="AC46" i="8"/>
  <c r="BL46" i="8" s="1"/>
  <c r="AF45" i="8"/>
  <c r="BO45" i="8" s="1"/>
  <c r="AE45" i="8"/>
  <c r="BN45" i="8" s="1"/>
  <c r="AD45" i="8"/>
  <c r="BM45" i="8" s="1"/>
  <c r="AC45" i="8"/>
  <c r="BL45" i="8" s="1"/>
  <c r="AF44" i="8"/>
  <c r="BO44" i="8" s="1"/>
  <c r="AE44" i="8"/>
  <c r="BN44" i="8" s="1"/>
  <c r="AD44" i="8"/>
  <c r="BM44" i="8" s="1"/>
  <c r="AC44" i="8"/>
  <c r="BL44" i="8" s="1"/>
  <c r="AF43" i="8"/>
  <c r="BO43" i="8" s="1"/>
  <c r="AE43" i="8"/>
  <c r="BN43" i="8" s="1"/>
  <c r="AD43" i="8"/>
  <c r="BM43" i="8" s="1"/>
  <c r="AC43" i="8"/>
  <c r="BL43" i="8" s="1"/>
  <c r="AF42" i="8"/>
  <c r="BO42" i="8" s="1"/>
  <c r="AE42" i="8"/>
  <c r="BN42" i="8" s="1"/>
  <c r="AD42" i="8"/>
  <c r="BM42" i="8" s="1"/>
  <c r="AC42" i="8"/>
  <c r="BL42" i="8" s="1"/>
  <c r="AF41" i="8"/>
  <c r="BO41" i="8" s="1"/>
  <c r="AE41" i="8"/>
  <c r="BN41" i="8" s="1"/>
  <c r="AD41" i="8"/>
  <c r="BM41" i="8" s="1"/>
  <c r="AC41" i="8"/>
  <c r="BL41" i="8" s="1"/>
  <c r="AF40" i="8"/>
  <c r="BO40" i="8" s="1"/>
  <c r="AE40" i="8"/>
  <c r="BN40" i="8" s="1"/>
  <c r="AD40" i="8"/>
  <c r="BM40" i="8" s="1"/>
  <c r="AC40" i="8"/>
  <c r="BL40" i="8" s="1"/>
  <c r="AF39" i="8"/>
  <c r="BO39" i="8" s="1"/>
  <c r="AE39" i="8"/>
  <c r="BN39" i="8" s="1"/>
  <c r="AD39" i="8"/>
  <c r="BM39" i="8" s="1"/>
  <c r="AC39" i="8"/>
  <c r="BL39" i="8" s="1"/>
  <c r="AF38" i="8"/>
  <c r="BO38" i="8" s="1"/>
  <c r="AE38" i="8"/>
  <c r="BN38" i="8" s="1"/>
  <c r="AD38" i="8"/>
  <c r="BM38" i="8" s="1"/>
  <c r="AC38" i="8"/>
  <c r="BL38" i="8" s="1"/>
  <c r="AE37" i="8"/>
  <c r="BN37" i="8" s="1"/>
  <c r="AF37" i="8"/>
  <c r="BO37" i="8" s="1"/>
  <c r="AD37" i="8"/>
  <c r="BM37" i="8" s="1"/>
  <c r="AC37" i="8"/>
  <c r="BL37" i="8" s="1"/>
  <c r="X174" i="8"/>
  <c r="BG174" i="8" s="1"/>
  <c r="W174" i="8"/>
  <c r="BF174" i="8" s="1"/>
  <c r="V174" i="8"/>
  <c r="BE174" i="8" s="1"/>
  <c r="U174" i="8"/>
  <c r="BD174" i="8" s="1"/>
  <c r="X173" i="8"/>
  <c r="BG173" i="8" s="1"/>
  <c r="W173" i="8"/>
  <c r="BF173" i="8" s="1"/>
  <c r="V173" i="8"/>
  <c r="BE173" i="8" s="1"/>
  <c r="U173" i="8"/>
  <c r="BD173" i="8" s="1"/>
  <c r="X172" i="8"/>
  <c r="BG172" i="8" s="1"/>
  <c r="W172" i="8"/>
  <c r="BF172" i="8" s="1"/>
  <c r="V172" i="8"/>
  <c r="BE172" i="8" s="1"/>
  <c r="U172" i="8"/>
  <c r="BD172" i="8" s="1"/>
  <c r="X171" i="8"/>
  <c r="BG171" i="8" s="1"/>
  <c r="W171" i="8"/>
  <c r="BF171" i="8" s="1"/>
  <c r="V171" i="8"/>
  <c r="BE171" i="8" s="1"/>
  <c r="U171" i="8"/>
  <c r="BD171" i="8" s="1"/>
  <c r="X170" i="8"/>
  <c r="BG170" i="8" s="1"/>
  <c r="W170" i="8"/>
  <c r="BF170" i="8" s="1"/>
  <c r="V170" i="8"/>
  <c r="BE170" i="8" s="1"/>
  <c r="U170" i="8"/>
  <c r="BD170" i="8" s="1"/>
  <c r="X169" i="8"/>
  <c r="BG169" i="8" s="1"/>
  <c r="W169" i="8"/>
  <c r="BF169" i="8" s="1"/>
  <c r="V169" i="8"/>
  <c r="BE169" i="8" s="1"/>
  <c r="U169" i="8"/>
  <c r="BD169" i="8" s="1"/>
  <c r="X168" i="8"/>
  <c r="BG168" i="8" s="1"/>
  <c r="W168" i="8"/>
  <c r="BF168" i="8" s="1"/>
  <c r="V168" i="8"/>
  <c r="BE168" i="8" s="1"/>
  <c r="U168" i="8"/>
  <c r="BD168" i="8" s="1"/>
  <c r="X167" i="8"/>
  <c r="BG167" i="8" s="1"/>
  <c r="W167" i="8"/>
  <c r="BF167" i="8" s="1"/>
  <c r="V167" i="8"/>
  <c r="BE167" i="8" s="1"/>
  <c r="U167" i="8"/>
  <c r="BD167" i="8" s="1"/>
  <c r="X165" i="8"/>
  <c r="BG165" i="8" s="1"/>
  <c r="W165" i="8"/>
  <c r="BF165" i="8" s="1"/>
  <c r="V165" i="8"/>
  <c r="BE165" i="8" s="1"/>
  <c r="U165" i="8"/>
  <c r="BD165" i="8" s="1"/>
  <c r="X164" i="8"/>
  <c r="BG164" i="8" s="1"/>
  <c r="W164" i="8"/>
  <c r="BF164" i="8" s="1"/>
  <c r="V164" i="8"/>
  <c r="BE164" i="8" s="1"/>
  <c r="U164" i="8"/>
  <c r="BD164" i="8" s="1"/>
  <c r="X163" i="8"/>
  <c r="BG163" i="8" s="1"/>
  <c r="W163" i="8"/>
  <c r="BF163" i="8" s="1"/>
  <c r="V163" i="8"/>
  <c r="BE163" i="8" s="1"/>
  <c r="U163" i="8"/>
  <c r="BD163" i="8" s="1"/>
  <c r="X162" i="8"/>
  <c r="BG162" i="8" s="1"/>
  <c r="W162" i="8"/>
  <c r="BF162" i="8" s="1"/>
  <c r="V162" i="8"/>
  <c r="BE162" i="8" s="1"/>
  <c r="U162" i="8"/>
  <c r="BD162" i="8" s="1"/>
  <c r="X161" i="8"/>
  <c r="BG161" i="8" s="1"/>
  <c r="W161" i="8"/>
  <c r="BF161" i="8" s="1"/>
  <c r="V161" i="8"/>
  <c r="BE161" i="8" s="1"/>
  <c r="U161" i="8"/>
  <c r="BD161" i="8" s="1"/>
  <c r="X160" i="8"/>
  <c r="BG160" i="8" s="1"/>
  <c r="W160" i="8"/>
  <c r="BF160" i="8" s="1"/>
  <c r="V160" i="8"/>
  <c r="BE160" i="8" s="1"/>
  <c r="U160" i="8"/>
  <c r="BD160" i="8" s="1"/>
  <c r="X159" i="8"/>
  <c r="BG159" i="8" s="1"/>
  <c r="W159" i="8"/>
  <c r="BF159" i="8" s="1"/>
  <c r="V159" i="8"/>
  <c r="BE159" i="8" s="1"/>
  <c r="U159" i="8"/>
  <c r="BD159" i="8" s="1"/>
  <c r="X158" i="8"/>
  <c r="BG158" i="8" s="1"/>
  <c r="W158" i="8"/>
  <c r="BF158" i="8" s="1"/>
  <c r="V158" i="8"/>
  <c r="BE158" i="8" s="1"/>
  <c r="U158" i="8"/>
  <c r="BD158" i="8" s="1"/>
  <c r="X157" i="8"/>
  <c r="BG157" i="8" s="1"/>
  <c r="W157" i="8"/>
  <c r="BF157" i="8" s="1"/>
  <c r="V157" i="8"/>
  <c r="BE157" i="8" s="1"/>
  <c r="U157" i="8"/>
  <c r="BD157" i="8" s="1"/>
  <c r="X156" i="8"/>
  <c r="BG156" i="8" s="1"/>
  <c r="W156" i="8"/>
  <c r="BF156" i="8" s="1"/>
  <c r="V156" i="8"/>
  <c r="BE156" i="8" s="1"/>
  <c r="U156" i="8"/>
  <c r="BD156" i="8" s="1"/>
  <c r="X155" i="8"/>
  <c r="BG155" i="8" s="1"/>
  <c r="W155" i="8"/>
  <c r="BF155" i="8" s="1"/>
  <c r="V155" i="8"/>
  <c r="BE155" i="8" s="1"/>
  <c r="U155" i="8"/>
  <c r="BD155" i="8" s="1"/>
  <c r="X154" i="8"/>
  <c r="BG154" i="8" s="1"/>
  <c r="W154" i="8"/>
  <c r="BF154" i="8" s="1"/>
  <c r="V154" i="8"/>
  <c r="BE154" i="8" s="1"/>
  <c r="U154" i="8"/>
  <c r="BD154" i="8" s="1"/>
  <c r="X153" i="8"/>
  <c r="BG153" i="8" s="1"/>
  <c r="W153" i="8"/>
  <c r="BF153" i="8" s="1"/>
  <c r="V153" i="8"/>
  <c r="BE153" i="8" s="1"/>
  <c r="U153" i="8"/>
  <c r="BD153" i="8" s="1"/>
  <c r="X152" i="8"/>
  <c r="BG152" i="8" s="1"/>
  <c r="W152" i="8"/>
  <c r="BF152" i="8" s="1"/>
  <c r="V152" i="8"/>
  <c r="BE152" i="8" s="1"/>
  <c r="U152" i="8"/>
  <c r="BD152" i="8" s="1"/>
  <c r="X151" i="8"/>
  <c r="BG151" i="8" s="1"/>
  <c r="W151" i="8"/>
  <c r="BF151" i="8" s="1"/>
  <c r="V151" i="8"/>
  <c r="BE151" i="8" s="1"/>
  <c r="U151" i="8"/>
  <c r="BD151" i="8" s="1"/>
  <c r="X150" i="8"/>
  <c r="BG150" i="8" s="1"/>
  <c r="W150" i="8"/>
  <c r="BF150" i="8" s="1"/>
  <c r="V150" i="8"/>
  <c r="BE150" i="8" s="1"/>
  <c r="U150" i="8"/>
  <c r="BD150" i="8" s="1"/>
  <c r="X149" i="8"/>
  <c r="BG149" i="8" s="1"/>
  <c r="W149" i="8"/>
  <c r="BF149" i="8" s="1"/>
  <c r="V149" i="8"/>
  <c r="BE149" i="8" s="1"/>
  <c r="U149" i="8"/>
  <c r="BD149" i="8" s="1"/>
  <c r="X148" i="8"/>
  <c r="BG148" i="8" s="1"/>
  <c r="W148" i="8"/>
  <c r="BF148" i="8" s="1"/>
  <c r="V148" i="8"/>
  <c r="BE148" i="8" s="1"/>
  <c r="U148" i="8"/>
  <c r="BD148" i="8" s="1"/>
  <c r="X147" i="8"/>
  <c r="BG147" i="8" s="1"/>
  <c r="W147" i="8"/>
  <c r="BF147" i="8" s="1"/>
  <c r="V147" i="8"/>
  <c r="BE147" i="8" s="1"/>
  <c r="U147" i="8"/>
  <c r="BD147" i="8" s="1"/>
  <c r="X146" i="8"/>
  <c r="BG146" i="8" s="1"/>
  <c r="W146" i="8"/>
  <c r="BF146" i="8" s="1"/>
  <c r="V146" i="8"/>
  <c r="BE146" i="8" s="1"/>
  <c r="U146" i="8"/>
  <c r="BD146" i="8" s="1"/>
  <c r="X145" i="8"/>
  <c r="BG145" i="8" s="1"/>
  <c r="W145" i="8"/>
  <c r="BF145" i="8" s="1"/>
  <c r="V145" i="8"/>
  <c r="BE145" i="8" s="1"/>
  <c r="U145" i="8"/>
  <c r="BD145" i="8" s="1"/>
  <c r="X144" i="8"/>
  <c r="BG144" i="8" s="1"/>
  <c r="W144" i="8"/>
  <c r="BF144" i="8" s="1"/>
  <c r="V144" i="8"/>
  <c r="BE144" i="8" s="1"/>
  <c r="U144" i="8"/>
  <c r="BD144" i="8" s="1"/>
  <c r="X143" i="8"/>
  <c r="BG143" i="8" s="1"/>
  <c r="W143" i="8"/>
  <c r="BF143" i="8" s="1"/>
  <c r="V143" i="8"/>
  <c r="BE143" i="8" s="1"/>
  <c r="U143" i="8"/>
  <c r="BD143" i="8" s="1"/>
  <c r="X142" i="8"/>
  <c r="BG142" i="8" s="1"/>
  <c r="W142" i="8"/>
  <c r="BF142" i="8" s="1"/>
  <c r="V142" i="8"/>
  <c r="BE142" i="8" s="1"/>
  <c r="U142" i="8"/>
  <c r="BD142" i="8" s="1"/>
  <c r="X141" i="8"/>
  <c r="BG141" i="8" s="1"/>
  <c r="W141" i="8"/>
  <c r="BF141" i="8" s="1"/>
  <c r="V141" i="8"/>
  <c r="BE141" i="8" s="1"/>
  <c r="U141" i="8"/>
  <c r="BD141" i="8" s="1"/>
  <c r="X140" i="8"/>
  <c r="BG140" i="8" s="1"/>
  <c r="W140" i="8"/>
  <c r="BF140" i="8" s="1"/>
  <c r="V140" i="8"/>
  <c r="BE140" i="8" s="1"/>
  <c r="U140" i="8"/>
  <c r="BD140" i="8" s="1"/>
  <c r="X139" i="8"/>
  <c r="BG139" i="8" s="1"/>
  <c r="W139" i="8"/>
  <c r="BF139" i="8" s="1"/>
  <c r="V139" i="8"/>
  <c r="BE139" i="8" s="1"/>
  <c r="U139" i="8"/>
  <c r="BD139" i="8" s="1"/>
  <c r="X138" i="8"/>
  <c r="BG138" i="8" s="1"/>
  <c r="W138" i="8"/>
  <c r="BF138" i="8" s="1"/>
  <c r="V138" i="8"/>
  <c r="BE138" i="8" s="1"/>
  <c r="U138" i="8"/>
  <c r="BD138" i="8" s="1"/>
  <c r="X137" i="8"/>
  <c r="BG137" i="8" s="1"/>
  <c r="W137" i="8"/>
  <c r="BF137" i="8" s="1"/>
  <c r="V137" i="8"/>
  <c r="BE137" i="8" s="1"/>
  <c r="U137" i="8"/>
  <c r="BD137" i="8" s="1"/>
  <c r="X136" i="8"/>
  <c r="BG136" i="8" s="1"/>
  <c r="W136" i="8"/>
  <c r="BF136" i="8" s="1"/>
  <c r="V136" i="8"/>
  <c r="BE136" i="8" s="1"/>
  <c r="U136" i="8"/>
  <c r="BD136" i="8" s="1"/>
  <c r="X135" i="8"/>
  <c r="BG135" i="8" s="1"/>
  <c r="W135" i="8"/>
  <c r="BF135" i="8" s="1"/>
  <c r="V135" i="8"/>
  <c r="BE135" i="8" s="1"/>
  <c r="U135" i="8"/>
  <c r="BD135" i="8" s="1"/>
  <c r="X134" i="8"/>
  <c r="BG134" i="8" s="1"/>
  <c r="W134" i="8"/>
  <c r="BF134" i="8" s="1"/>
  <c r="V134" i="8"/>
  <c r="BE134" i="8" s="1"/>
  <c r="U134" i="8"/>
  <c r="BD134" i="8" s="1"/>
  <c r="X133" i="8"/>
  <c r="BG133" i="8" s="1"/>
  <c r="W133" i="8"/>
  <c r="BF133" i="8" s="1"/>
  <c r="V133" i="8"/>
  <c r="BE133" i="8" s="1"/>
  <c r="U133" i="8"/>
  <c r="BD133" i="8" s="1"/>
  <c r="X132" i="8"/>
  <c r="BG132" i="8" s="1"/>
  <c r="W132" i="8"/>
  <c r="BF132" i="8" s="1"/>
  <c r="V132" i="8"/>
  <c r="BE132" i="8" s="1"/>
  <c r="U132" i="8"/>
  <c r="BD132" i="8" s="1"/>
  <c r="X131" i="8"/>
  <c r="BG131" i="8" s="1"/>
  <c r="W131" i="8"/>
  <c r="BF131" i="8" s="1"/>
  <c r="V131" i="8"/>
  <c r="BE131" i="8" s="1"/>
  <c r="U131" i="8"/>
  <c r="BD131" i="8" s="1"/>
  <c r="X130" i="8"/>
  <c r="BG130" i="8" s="1"/>
  <c r="W130" i="8"/>
  <c r="BF130" i="8" s="1"/>
  <c r="V130" i="8"/>
  <c r="BE130" i="8" s="1"/>
  <c r="U130" i="8"/>
  <c r="BD130" i="8" s="1"/>
  <c r="X129" i="8"/>
  <c r="BG129" i="8" s="1"/>
  <c r="W129" i="8"/>
  <c r="BF129" i="8" s="1"/>
  <c r="V129" i="8"/>
  <c r="BE129" i="8" s="1"/>
  <c r="U129" i="8"/>
  <c r="BD129" i="8" s="1"/>
  <c r="X128" i="8"/>
  <c r="BG128" i="8" s="1"/>
  <c r="W128" i="8"/>
  <c r="BF128" i="8" s="1"/>
  <c r="V128" i="8"/>
  <c r="BE128" i="8" s="1"/>
  <c r="U128" i="8"/>
  <c r="BD128" i="8" s="1"/>
  <c r="X127" i="8"/>
  <c r="BG127" i="8" s="1"/>
  <c r="W127" i="8"/>
  <c r="BF127" i="8" s="1"/>
  <c r="V127" i="8"/>
  <c r="BE127" i="8" s="1"/>
  <c r="U127" i="8"/>
  <c r="BD127" i="8" s="1"/>
  <c r="X126" i="8"/>
  <c r="BG126" i="8" s="1"/>
  <c r="W126" i="8"/>
  <c r="BF126" i="8" s="1"/>
  <c r="V126" i="8"/>
  <c r="BE126" i="8" s="1"/>
  <c r="U126" i="8"/>
  <c r="BD126" i="8" s="1"/>
  <c r="X125" i="8"/>
  <c r="BG125" i="8" s="1"/>
  <c r="W125" i="8"/>
  <c r="BF125" i="8" s="1"/>
  <c r="V125" i="8"/>
  <c r="BE125" i="8" s="1"/>
  <c r="U125" i="8"/>
  <c r="BD125" i="8" s="1"/>
  <c r="X124" i="8"/>
  <c r="BG124" i="8" s="1"/>
  <c r="W124" i="8"/>
  <c r="BF124" i="8" s="1"/>
  <c r="V124" i="8"/>
  <c r="BE124" i="8" s="1"/>
  <c r="U124" i="8"/>
  <c r="BD124" i="8" s="1"/>
  <c r="X123" i="8"/>
  <c r="BG123" i="8" s="1"/>
  <c r="W123" i="8"/>
  <c r="BF123" i="8" s="1"/>
  <c r="V123" i="8"/>
  <c r="BE123" i="8" s="1"/>
  <c r="U123" i="8"/>
  <c r="BD123" i="8" s="1"/>
  <c r="X122" i="8"/>
  <c r="BG122" i="8" s="1"/>
  <c r="W122" i="8"/>
  <c r="BF122" i="8" s="1"/>
  <c r="V122" i="8"/>
  <c r="BE122" i="8" s="1"/>
  <c r="U122" i="8"/>
  <c r="BD122" i="8" s="1"/>
  <c r="X121" i="8"/>
  <c r="BG121" i="8" s="1"/>
  <c r="W121" i="8"/>
  <c r="BF121" i="8" s="1"/>
  <c r="V121" i="8"/>
  <c r="BE121" i="8" s="1"/>
  <c r="U121" i="8"/>
  <c r="BD121" i="8" s="1"/>
  <c r="X120" i="8"/>
  <c r="BG120" i="8" s="1"/>
  <c r="W120" i="8"/>
  <c r="BF120" i="8" s="1"/>
  <c r="V120" i="8"/>
  <c r="BE120" i="8" s="1"/>
  <c r="U120" i="8"/>
  <c r="BD120" i="8" s="1"/>
  <c r="X119" i="8"/>
  <c r="BG119" i="8" s="1"/>
  <c r="W119" i="8"/>
  <c r="BF119" i="8" s="1"/>
  <c r="V119" i="8"/>
  <c r="BE119" i="8" s="1"/>
  <c r="U119" i="8"/>
  <c r="BD119" i="8" s="1"/>
  <c r="X118" i="8"/>
  <c r="BG118" i="8" s="1"/>
  <c r="W118" i="8"/>
  <c r="BF118" i="8" s="1"/>
  <c r="V118" i="8"/>
  <c r="BE118" i="8" s="1"/>
  <c r="U118" i="8"/>
  <c r="BD118" i="8" s="1"/>
  <c r="X117" i="8"/>
  <c r="BG117" i="8" s="1"/>
  <c r="W117" i="8"/>
  <c r="BF117" i="8" s="1"/>
  <c r="V117" i="8"/>
  <c r="BE117" i="8" s="1"/>
  <c r="U117" i="8"/>
  <c r="BD117" i="8" s="1"/>
  <c r="X107" i="8"/>
  <c r="W107" i="8"/>
  <c r="V107" i="8"/>
  <c r="U107" i="8"/>
  <c r="X116" i="8"/>
  <c r="BG116" i="8" s="1"/>
  <c r="W116" i="8"/>
  <c r="BF116" i="8" s="1"/>
  <c r="V116" i="8"/>
  <c r="BE116" i="8" s="1"/>
  <c r="U116" i="8"/>
  <c r="BD116" i="8" s="1"/>
  <c r="X115" i="8"/>
  <c r="BG115" i="8" s="1"/>
  <c r="W115" i="8"/>
  <c r="BF115" i="8" s="1"/>
  <c r="V115" i="8"/>
  <c r="BE115" i="8" s="1"/>
  <c r="U115" i="8"/>
  <c r="BD115" i="8" s="1"/>
  <c r="X114" i="8"/>
  <c r="BG114" i="8" s="1"/>
  <c r="W114" i="8"/>
  <c r="BF114" i="8" s="1"/>
  <c r="V114" i="8"/>
  <c r="BE114" i="8" s="1"/>
  <c r="U114" i="8"/>
  <c r="BD114" i="8" s="1"/>
  <c r="X113" i="8"/>
  <c r="BG113" i="8" s="1"/>
  <c r="W113" i="8"/>
  <c r="BF113" i="8" s="1"/>
  <c r="V113" i="8"/>
  <c r="BE113" i="8" s="1"/>
  <c r="U113" i="8"/>
  <c r="BD113" i="8" s="1"/>
  <c r="X112" i="8"/>
  <c r="BG112" i="8" s="1"/>
  <c r="W112" i="8"/>
  <c r="BF112" i="8" s="1"/>
  <c r="V112" i="8"/>
  <c r="BE112" i="8" s="1"/>
  <c r="U112" i="8"/>
  <c r="BD112" i="8" s="1"/>
  <c r="X111" i="8"/>
  <c r="BG111" i="8" s="1"/>
  <c r="W111" i="8"/>
  <c r="BF111" i="8" s="1"/>
  <c r="V111" i="8"/>
  <c r="BE111" i="8" s="1"/>
  <c r="U111" i="8"/>
  <c r="BD111" i="8" s="1"/>
  <c r="X110" i="8"/>
  <c r="BG110" i="8" s="1"/>
  <c r="W110" i="8"/>
  <c r="BF110" i="8" s="1"/>
  <c r="V110" i="8"/>
  <c r="BE110" i="8" s="1"/>
  <c r="U110" i="8"/>
  <c r="BD110" i="8" s="1"/>
  <c r="X109" i="8"/>
  <c r="W109" i="8"/>
  <c r="V109" i="8"/>
  <c r="U109" i="8"/>
  <c r="X105" i="8"/>
  <c r="BG105" i="8" s="1"/>
  <c r="W105" i="8"/>
  <c r="BF105" i="8" s="1"/>
  <c r="V105" i="8"/>
  <c r="BE105" i="8" s="1"/>
  <c r="U105" i="8"/>
  <c r="BD105" i="8" s="1"/>
  <c r="X104" i="8"/>
  <c r="BG104" i="8" s="1"/>
  <c r="W104" i="8"/>
  <c r="BF104" i="8" s="1"/>
  <c r="V104" i="8"/>
  <c r="BE104" i="8" s="1"/>
  <c r="U104" i="8"/>
  <c r="BD104" i="8" s="1"/>
  <c r="X103" i="8"/>
  <c r="BG103" i="8" s="1"/>
  <c r="W103" i="8"/>
  <c r="BF103" i="8" s="1"/>
  <c r="V103" i="8"/>
  <c r="BE103" i="8" s="1"/>
  <c r="U103" i="8"/>
  <c r="BD103" i="8" s="1"/>
  <c r="X102" i="8"/>
  <c r="BG102" i="8" s="1"/>
  <c r="W102" i="8"/>
  <c r="BF102" i="8" s="1"/>
  <c r="V102" i="8"/>
  <c r="BE102" i="8" s="1"/>
  <c r="U102" i="8"/>
  <c r="BD102" i="8" s="1"/>
  <c r="X101" i="8"/>
  <c r="BG101" i="8" s="1"/>
  <c r="W101" i="8"/>
  <c r="BF101" i="8" s="1"/>
  <c r="V101" i="8"/>
  <c r="BE101" i="8" s="1"/>
  <c r="U101" i="8"/>
  <c r="BD101" i="8" s="1"/>
  <c r="X100" i="8"/>
  <c r="BG100" i="8" s="1"/>
  <c r="W100" i="8"/>
  <c r="BF100" i="8" s="1"/>
  <c r="V100" i="8"/>
  <c r="BE100" i="8" s="1"/>
  <c r="U100" i="8"/>
  <c r="BD100" i="8" s="1"/>
  <c r="X99" i="8"/>
  <c r="BG99" i="8" s="1"/>
  <c r="W99" i="8"/>
  <c r="BF99" i="8" s="1"/>
  <c r="V99" i="8"/>
  <c r="BE99" i="8" s="1"/>
  <c r="U99" i="8"/>
  <c r="BD99" i="8" s="1"/>
  <c r="X98" i="8"/>
  <c r="BG98" i="8" s="1"/>
  <c r="W98" i="8"/>
  <c r="BF98" i="8" s="1"/>
  <c r="V98" i="8"/>
  <c r="BE98" i="8" s="1"/>
  <c r="U98" i="8"/>
  <c r="BD98" i="8" s="1"/>
  <c r="X97" i="8"/>
  <c r="BG97" i="8" s="1"/>
  <c r="W97" i="8"/>
  <c r="BF97" i="8" s="1"/>
  <c r="V97" i="8"/>
  <c r="BE97" i="8" s="1"/>
  <c r="U97" i="8"/>
  <c r="BD97" i="8" s="1"/>
  <c r="X96" i="8"/>
  <c r="BG96" i="8" s="1"/>
  <c r="W96" i="8"/>
  <c r="BF96" i="8" s="1"/>
  <c r="V96" i="8"/>
  <c r="BE96" i="8" s="1"/>
  <c r="U96" i="8"/>
  <c r="BD96" i="8" s="1"/>
  <c r="X95" i="8"/>
  <c r="BG95" i="8" s="1"/>
  <c r="W95" i="8"/>
  <c r="BF95" i="8" s="1"/>
  <c r="V95" i="8"/>
  <c r="BE95" i="8" s="1"/>
  <c r="U95" i="8"/>
  <c r="BD95" i="8" s="1"/>
  <c r="X94" i="8"/>
  <c r="BG94" i="8" s="1"/>
  <c r="W94" i="8"/>
  <c r="BF94" i="8" s="1"/>
  <c r="V94" i="8"/>
  <c r="BE94" i="8" s="1"/>
  <c r="U94" i="8"/>
  <c r="BD94" i="8" s="1"/>
  <c r="X93" i="8"/>
  <c r="BG93" i="8" s="1"/>
  <c r="W93" i="8"/>
  <c r="BF93" i="8" s="1"/>
  <c r="V93" i="8"/>
  <c r="BE93" i="8" s="1"/>
  <c r="U93" i="8"/>
  <c r="BD93" i="8" s="1"/>
  <c r="X92" i="8"/>
  <c r="BG92" i="8" s="1"/>
  <c r="W92" i="8"/>
  <c r="BF92" i="8" s="1"/>
  <c r="V92" i="8"/>
  <c r="BE92" i="8" s="1"/>
  <c r="U92" i="8"/>
  <c r="BD92" i="8" s="1"/>
  <c r="X91" i="8"/>
  <c r="BG91" i="8" s="1"/>
  <c r="W91" i="8"/>
  <c r="BF91" i="8" s="1"/>
  <c r="V91" i="8"/>
  <c r="BE91" i="8" s="1"/>
  <c r="U91" i="8"/>
  <c r="BD91" i="8" s="1"/>
  <c r="X90" i="8"/>
  <c r="BG90" i="8" s="1"/>
  <c r="W90" i="8"/>
  <c r="BF90" i="8" s="1"/>
  <c r="V90" i="8"/>
  <c r="BE90" i="8" s="1"/>
  <c r="U90" i="8"/>
  <c r="BD90" i="8" s="1"/>
  <c r="X89" i="8"/>
  <c r="BG89" i="8" s="1"/>
  <c r="W89" i="8"/>
  <c r="BF89" i="8" s="1"/>
  <c r="V89" i="8"/>
  <c r="BE89" i="8" s="1"/>
  <c r="U89" i="8"/>
  <c r="BD89" i="8" s="1"/>
  <c r="X88" i="8"/>
  <c r="BG88" i="8" s="1"/>
  <c r="W88" i="8"/>
  <c r="BF88" i="8" s="1"/>
  <c r="V88" i="8"/>
  <c r="BE88" i="8" s="1"/>
  <c r="U88" i="8"/>
  <c r="BD88" i="8" s="1"/>
  <c r="X87" i="8"/>
  <c r="BG87" i="8" s="1"/>
  <c r="W87" i="8"/>
  <c r="BF87" i="8" s="1"/>
  <c r="V87" i="8"/>
  <c r="BE87" i="8" s="1"/>
  <c r="U87" i="8"/>
  <c r="BD87" i="8" s="1"/>
  <c r="X86" i="8"/>
  <c r="BG86" i="8" s="1"/>
  <c r="W86" i="8"/>
  <c r="BF86" i="8" s="1"/>
  <c r="V86" i="8"/>
  <c r="BE86" i="8" s="1"/>
  <c r="U86" i="8"/>
  <c r="BD86" i="8" s="1"/>
  <c r="X85" i="8"/>
  <c r="BG85" i="8" s="1"/>
  <c r="W85" i="8"/>
  <c r="BF85" i="8" s="1"/>
  <c r="V85" i="8"/>
  <c r="BE85" i="8" s="1"/>
  <c r="U85" i="8"/>
  <c r="BD85" i="8" s="1"/>
  <c r="X84" i="8"/>
  <c r="BG84" i="8" s="1"/>
  <c r="W84" i="8"/>
  <c r="BF84" i="8" s="1"/>
  <c r="V84" i="8"/>
  <c r="BE84" i="8" s="1"/>
  <c r="U84" i="8"/>
  <c r="BD84" i="8" s="1"/>
  <c r="X83" i="8"/>
  <c r="BG83" i="8" s="1"/>
  <c r="W83" i="8"/>
  <c r="BF83" i="8" s="1"/>
  <c r="V83" i="8"/>
  <c r="BE83" i="8" s="1"/>
  <c r="U83" i="8"/>
  <c r="BD83" i="8" s="1"/>
  <c r="X82" i="8"/>
  <c r="BG82" i="8" s="1"/>
  <c r="W82" i="8"/>
  <c r="BF82" i="8" s="1"/>
  <c r="V82" i="8"/>
  <c r="BE82" i="8" s="1"/>
  <c r="U82" i="8"/>
  <c r="BD82" i="8" s="1"/>
  <c r="X81" i="8"/>
  <c r="BG81" i="8" s="1"/>
  <c r="W81" i="8"/>
  <c r="BF81" i="8" s="1"/>
  <c r="V81" i="8"/>
  <c r="BE81" i="8" s="1"/>
  <c r="U81" i="8"/>
  <c r="BD81" i="8" s="1"/>
  <c r="X80" i="8"/>
  <c r="BG80" i="8" s="1"/>
  <c r="W80" i="8"/>
  <c r="BF80" i="8" s="1"/>
  <c r="V80" i="8"/>
  <c r="BE80" i="8" s="1"/>
  <c r="U80" i="8"/>
  <c r="BD80" i="8" s="1"/>
  <c r="X79" i="8"/>
  <c r="BG79" i="8" s="1"/>
  <c r="W79" i="8"/>
  <c r="BF79" i="8" s="1"/>
  <c r="V79" i="8"/>
  <c r="BE79" i="8" s="1"/>
  <c r="U79" i="8"/>
  <c r="BD79" i="8" s="1"/>
  <c r="X78" i="8"/>
  <c r="BG78" i="8" s="1"/>
  <c r="W78" i="8"/>
  <c r="BF78" i="8" s="1"/>
  <c r="V78" i="8"/>
  <c r="BE78" i="8" s="1"/>
  <c r="U78" i="8"/>
  <c r="BD78" i="8" s="1"/>
  <c r="X77" i="8"/>
  <c r="BG77" i="8" s="1"/>
  <c r="W77" i="8"/>
  <c r="BF77" i="8" s="1"/>
  <c r="V77" i="8"/>
  <c r="BE77" i="8" s="1"/>
  <c r="U77" i="8"/>
  <c r="BD77" i="8" s="1"/>
  <c r="X76" i="8"/>
  <c r="W76" i="8"/>
  <c r="V76" i="8"/>
  <c r="U76" i="8"/>
  <c r="X74" i="8"/>
  <c r="BG74" i="8" s="1"/>
  <c r="W74" i="8"/>
  <c r="V74" i="8"/>
  <c r="U74" i="8"/>
  <c r="BD74" i="8" s="1"/>
  <c r="X72" i="8"/>
  <c r="BG72" i="8" s="1"/>
  <c r="W72" i="8"/>
  <c r="BF72" i="8" s="1"/>
  <c r="V72" i="8"/>
  <c r="BE72" i="8" s="1"/>
  <c r="U72" i="8"/>
  <c r="BD72" i="8" s="1"/>
  <c r="X71" i="8"/>
  <c r="BG71" i="8" s="1"/>
  <c r="W71" i="8"/>
  <c r="BF71" i="8" s="1"/>
  <c r="V71" i="8"/>
  <c r="BE71" i="8" s="1"/>
  <c r="U71" i="8"/>
  <c r="BD71" i="8" s="1"/>
  <c r="X70" i="8"/>
  <c r="BG70" i="8" s="1"/>
  <c r="W70" i="8"/>
  <c r="BF70" i="8" s="1"/>
  <c r="V70" i="8"/>
  <c r="BE70" i="8" s="1"/>
  <c r="U70" i="8"/>
  <c r="BD70" i="8" s="1"/>
  <c r="X69" i="8"/>
  <c r="BG69" i="8" s="1"/>
  <c r="W69" i="8"/>
  <c r="BF69" i="8" s="1"/>
  <c r="V69" i="8"/>
  <c r="BE69" i="8" s="1"/>
  <c r="U69" i="8"/>
  <c r="BD69" i="8" s="1"/>
  <c r="X68" i="8"/>
  <c r="BG68" i="8" s="1"/>
  <c r="W68" i="8"/>
  <c r="BF68" i="8" s="1"/>
  <c r="V68" i="8"/>
  <c r="BE68" i="8" s="1"/>
  <c r="U68" i="8"/>
  <c r="BD68" i="8" s="1"/>
  <c r="X67" i="8"/>
  <c r="BG67" i="8" s="1"/>
  <c r="W67" i="8"/>
  <c r="BF67" i="8" s="1"/>
  <c r="V67" i="8"/>
  <c r="BE67" i="8" s="1"/>
  <c r="U67" i="8"/>
  <c r="BD67" i="8" s="1"/>
  <c r="X66" i="8"/>
  <c r="BG66" i="8" s="1"/>
  <c r="W66" i="8"/>
  <c r="BF66" i="8" s="1"/>
  <c r="V66" i="8"/>
  <c r="BE66" i="8" s="1"/>
  <c r="U66" i="8"/>
  <c r="BD66" i="8" s="1"/>
  <c r="X65" i="8"/>
  <c r="BG65" i="8" s="1"/>
  <c r="W65" i="8"/>
  <c r="BF65" i="8" s="1"/>
  <c r="V65" i="8"/>
  <c r="BE65" i="8" s="1"/>
  <c r="U65" i="8"/>
  <c r="BD65" i="8" s="1"/>
  <c r="X64" i="8"/>
  <c r="BG64" i="8" s="1"/>
  <c r="W64" i="8"/>
  <c r="BF64" i="8" s="1"/>
  <c r="V64" i="8"/>
  <c r="BE64" i="8" s="1"/>
  <c r="U64" i="8"/>
  <c r="BD64" i="8" s="1"/>
  <c r="X63" i="8"/>
  <c r="BG63" i="8" s="1"/>
  <c r="W63" i="8"/>
  <c r="BF63" i="8" s="1"/>
  <c r="V63" i="8"/>
  <c r="BE63" i="8" s="1"/>
  <c r="U63" i="8"/>
  <c r="BD63" i="8" s="1"/>
  <c r="X62" i="8"/>
  <c r="BG62" i="8" s="1"/>
  <c r="W62" i="8"/>
  <c r="BF62" i="8" s="1"/>
  <c r="V62" i="8"/>
  <c r="BE62" i="8" s="1"/>
  <c r="U62" i="8"/>
  <c r="BD62" i="8" s="1"/>
  <c r="X61" i="8"/>
  <c r="BG61" i="8" s="1"/>
  <c r="W61" i="8"/>
  <c r="BF61" i="8" s="1"/>
  <c r="V61" i="8"/>
  <c r="BE61" i="8" s="1"/>
  <c r="U61" i="8"/>
  <c r="BD61" i="8" s="1"/>
  <c r="X60" i="8"/>
  <c r="BG60" i="8" s="1"/>
  <c r="W60" i="8"/>
  <c r="BF60" i="8" s="1"/>
  <c r="V60" i="8"/>
  <c r="BE60" i="8" s="1"/>
  <c r="U60" i="8"/>
  <c r="BD60" i="8" s="1"/>
  <c r="X59" i="8"/>
  <c r="BG59" i="8" s="1"/>
  <c r="W59" i="8"/>
  <c r="BF59" i="8" s="1"/>
  <c r="V59" i="8"/>
  <c r="BE59" i="8" s="1"/>
  <c r="U59" i="8"/>
  <c r="BD59" i="8" s="1"/>
  <c r="X57" i="8"/>
  <c r="BG57" i="8" s="1"/>
  <c r="W57" i="8"/>
  <c r="BF57" i="8" s="1"/>
  <c r="V57" i="8"/>
  <c r="BE57" i="8" s="1"/>
  <c r="U57" i="8"/>
  <c r="BD57" i="8" s="1"/>
  <c r="X56" i="8"/>
  <c r="BG56" i="8" s="1"/>
  <c r="W56" i="8"/>
  <c r="BF56" i="8" s="1"/>
  <c r="V56" i="8"/>
  <c r="BE56" i="8" s="1"/>
  <c r="U56" i="8"/>
  <c r="BD56" i="8" s="1"/>
  <c r="X55" i="8"/>
  <c r="BG55" i="8" s="1"/>
  <c r="W55" i="8"/>
  <c r="BF55" i="8" s="1"/>
  <c r="V55" i="8"/>
  <c r="BE55" i="8" s="1"/>
  <c r="U55" i="8"/>
  <c r="BD55" i="8" s="1"/>
  <c r="X54" i="8"/>
  <c r="BG54" i="8" s="1"/>
  <c r="W54" i="8"/>
  <c r="BF54" i="8" s="1"/>
  <c r="V54" i="8"/>
  <c r="BE54" i="8" s="1"/>
  <c r="U54" i="8"/>
  <c r="BD54" i="8" s="1"/>
  <c r="X53" i="8"/>
  <c r="BG53" i="8" s="1"/>
  <c r="W53" i="8"/>
  <c r="BF53" i="8" s="1"/>
  <c r="V53" i="8"/>
  <c r="BE53" i="8" s="1"/>
  <c r="U53" i="8"/>
  <c r="BD53" i="8" s="1"/>
  <c r="X52" i="8"/>
  <c r="BG52" i="8" s="1"/>
  <c r="W52" i="8"/>
  <c r="BF52" i="8" s="1"/>
  <c r="V52" i="8"/>
  <c r="BE52" i="8" s="1"/>
  <c r="U52" i="8"/>
  <c r="BD52" i="8" s="1"/>
  <c r="X51" i="8"/>
  <c r="BG51" i="8" s="1"/>
  <c r="W51" i="8"/>
  <c r="BF51" i="8" s="1"/>
  <c r="V51" i="8"/>
  <c r="BE51" i="8" s="1"/>
  <c r="U51" i="8"/>
  <c r="BD51" i="8" s="1"/>
  <c r="X50" i="8"/>
  <c r="BG50" i="8" s="1"/>
  <c r="W50" i="8"/>
  <c r="BF50" i="8" s="1"/>
  <c r="V50" i="8"/>
  <c r="BE50" i="8" s="1"/>
  <c r="U50" i="8"/>
  <c r="BD50" i="8" s="1"/>
  <c r="X49" i="8"/>
  <c r="BG49" i="8" s="1"/>
  <c r="W49" i="8"/>
  <c r="BF49" i="8" s="1"/>
  <c r="V49" i="8"/>
  <c r="BE49" i="8" s="1"/>
  <c r="U49" i="8"/>
  <c r="BD49" i="8" s="1"/>
  <c r="X48" i="8"/>
  <c r="BG48" i="8" s="1"/>
  <c r="W48" i="8"/>
  <c r="BF48" i="8" s="1"/>
  <c r="V48" i="8"/>
  <c r="BE48" i="8" s="1"/>
  <c r="U48" i="8"/>
  <c r="BD48" i="8" s="1"/>
  <c r="X47" i="8"/>
  <c r="BG47" i="8" s="1"/>
  <c r="W47" i="8"/>
  <c r="BF47" i="8" s="1"/>
  <c r="V47" i="8"/>
  <c r="BE47" i="8" s="1"/>
  <c r="U47" i="8"/>
  <c r="BD47" i="8" s="1"/>
  <c r="X46" i="8"/>
  <c r="BG46" i="8" s="1"/>
  <c r="W46" i="8"/>
  <c r="BF46" i="8" s="1"/>
  <c r="V46" i="8"/>
  <c r="BE46" i="8" s="1"/>
  <c r="U46" i="8"/>
  <c r="BD46" i="8" s="1"/>
  <c r="X45" i="8"/>
  <c r="BG45" i="8" s="1"/>
  <c r="W45" i="8"/>
  <c r="BF45" i="8" s="1"/>
  <c r="V45" i="8"/>
  <c r="BE45" i="8" s="1"/>
  <c r="U45" i="8"/>
  <c r="BD45" i="8" s="1"/>
  <c r="X44" i="8"/>
  <c r="BG44" i="8" s="1"/>
  <c r="W44" i="8"/>
  <c r="BF44" i="8" s="1"/>
  <c r="V44" i="8"/>
  <c r="BE44" i="8" s="1"/>
  <c r="U44" i="8"/>
  <c r="BD44" i="8" s="1"/>
  <c r="X43" i="8"/>
  <c r="BG43" i="8" s="1"/>
  <c r="W43" i="8"/>
  <c r="BF43" i="8" s="1"/>
  <c r="V43" i="8"/>
  <c r="BE43" i="8" s="1"/>
  <c r="U43" i="8"/>
  <c r="BD43" i="8" s="1"/>
  <c r="X42" i="8"/>
  <c r="BG42" i="8" s="1"/>
  <c r="W42" i="8"/>
  <c r="BF42" i="8" s="1"/>
  <c r="V42" i="8"/>
  <c r="BE42" i="8" s="1"/>
  <c r="U42" i="8"/>
  <c r="BD42" i="8" s="1"/>
  <c r="X41" i="8"/>
  <c r="BG41" i="8" s="1"/>
  <c r="W41" i="8"/>
  <c r="BF41" i="8" s="1"/>
  <c r="V41" i="8"/>
  <c r="BE41" i="8" s="1"/>
  <c r="U41" i="8"/>
  <c r="BD41" i="8" s="1"/>
  <c r="X40" i="8"/>
  <c r="BG40" i="8" s="1"/>
  <c r="W40" i="8"/>
  <c r="BF40" i="8" s="1"/>
  <c r="V40" i="8"/>
  <c r="BE40" i="8" s="1"/>
  <c r="U40" i="8"/>
  <c r="BD40" i="8" s="1"/>
  <c r="X39" i="8"/>
  <c r="BG39" i="8" s="1"/>
  <c r="W39" i="8"/>
  <c r="BF39" i="8" s="1"/>
  <c r="V39" i="8"/>
  <c r="BE39" i="8" s="1"/>
  <c r="U39" i="8"/>
  <c r="BD39" i="8" s="1"/>
  <c r="X38" i="8"/>
  <c r="BG38" i="8" s="1"/>
  <c r="W38" i="8"/>
  <c r="BF38" i="8" s="1"/>
  <c r="V38" i="8"/>
  <c r="BE38" i="8" s="1"/>
  <c r="U38" i="8"/>
  <c r="BD38" i="8" s="1"/>
  <c r="W37" i="8"/>
  <c r="BF37" i="8" s="1"/>
  <c r="X37" i="8"/>
  <c r="BG37" i="8" s="1"/>
  <c r="V37" i="8"/>
  <c r="BE37" i="8" s="1"/>
  <c r="U37" i="8"/>
  <c r="BD37" i="8" s="1"/>
  <c r="P174" i="8"/>
  <c r="AY174" i="8" s="1"/>
  <c r="O174" i="8"/>
  <c r="AX174" i="8" s="1"/>
  <c r="N174" i="8"/>
  <c r="AW174" i="8" s="1"/>
  <c r="M174" i="8"/>
  <c r="AV174" i="8" s="1"/>
  <c r="P173" i="8"/>
  <c r="AY173" i="8" s="1"/>
  <c r="O173" i="8"/>
  <c r="AX173" i="8" s="1"/>
  <c r="N173" i="8"/>
  <c r="AW173" i="8" s="1"/>
  <c r="M173" i="8"/>
  <c r="AV173" i="8" s="1"/>
  <c r="P172" i="8"/>
  <c r="AY172" i="8" s="1"/>
  <c r="O172" i="8"/>
  <c r="AX172" i="8" s="1"/>
  <c r="N172" i="8"/>
  <c r="AW172" i="8" s="1"/>
  <c r="M172" i="8"/>
  <c r="AV172" i="8" s="1"/>
  <c r="P171" i="8"/>
  <c r="AY171" i="8" s="1"/>
  <c r="O171" i="8"/>
  <c r="AX171" i="8" s="1"/>
  <c r="N171" i="8"/>
  <c r="AW171" i="8" s="1"/>
  <c r="M171" i="8"/>
  <c r="AV171" i="8" s="1"/>
  <c r="P170" i="8"/>
  <c r="AY170" i="8" s="1"/>
  <c r="O170" i="8"/>
  <c r="AX170" i="8" s="1"/>
  <c r="N170" i="8"/>
  <c r="AW170" i="8" s="1"/>
  <c r="M170" i="8"/>
  <c r="AV170" i="8" s="1"/>
  <c r="P169" i="8"/>
  <c r="AY169" i="8" s="1"/>
  <c r="O169" i="8"/>
  <c r="AX169" i="8" s="1"/>
  <c r="N169" i="8"/>
  <c r="AW169" i="8" s="1"/>
  <c r="M169" i="8"/>
  <c r="AV169" i="8" s="1"/>
  <c r="P168" i="8"/>
  <c r="AY168" i="8" s="1"/>
  <c r="O168" i="8"/>
  <c r="AX168" i="8" s="1"/>
  <c r="N168" i="8"/>
  <c r="AW168" i="8" s="1"/>
  <c r="M168" i="8"/>
  <c r="AV168" i="8" s="1"/>
  <c r="P167" i="8"/>
  <c r="AY167" i="8" s="1"/>
  <c r="O167" i="8"/>
  <c r="AX167" i="8" s="1"/>
  <c r="N167" i="8"/>
  <c r="AW167" i="8" s="1"/>
  <c r="M167" i="8"/>
  <c r="AV167" i="8" s="1"/>
  <c r="P165" i="8"/>
  <c r="AY165" i="8" s="1"/>
  <c r="O165" i="8"/>
  <c r="AX165" i="8" s="1"/>
  <c r="N165" i="8"/>
  <c r="AW165" i="8" s="1"/>
  <c r="M165" i="8"/>
  <c r="AV165" i="8" s="1"/>
  <c r="P164" i="8"/>
  <c r="AY164" i="8" s="1"/>
  <c r="O164" i="8"/>
  <c r="AX164" i="8" s="1"/>
  <c r="N164" i="8"/>
  <c r="AW164" i="8" s="1"/>
  <c r="M164" i="8"/>
  <c r="AV164" i="8" s="1"/>
  <c r="P163" i="8"/>
  <c r="AY163" i="8" s="1"/>
  <c r="O163" i="8"/>
  <c r="AX163" i="8" s="1"/>
  <c r="N163" i="8"/>
  <c r="AW163" i="8" s="1"/>
  <c r="M163" i="8"/>
  <c r="AV163" i="8" s="1"/>
  <c r="P162" i="8"/>
  <c r="AY162" i="8" s="1"/>
  <c r="O162" i="8"/>
  <c r="AX162" i="8" s="1"/>
  <c r="N162" i="8"/>
  <c r="AW162" i="8" s="1"/>
  <c r="M162" i="8"/>
  <c r="AV162" i="8" s="1"/>
  <c r="P161" i="8"/>
  <c r="AY161" i="8" s="1"/>
  <c r="O161" i="8"/>
  <c r="AX161" i="8" s="1"/>
  <c r="N161" i="8"/>
  <c r="AW161" i="8" s="1"/>
  <c r="M161" i="8"/>
  <c r="AV161" i="8" s="1"/>
  <c r="P160" i="8"/>
  <c r="AY160" i="8" s="1"/>
  <c r="O160" i="8"/>
  <c r="AX160" i="8" s="1"/>
  <c r="N160" i="8"/>
  <c r="AW160" i="8" s="1"/>
  <c r="M160" i="8"/>
  <c r="AV160" i="8" s="1"/>
  <c r="P159" i="8"/>
  <c r="AY159" i="8" s="1"/>
  <c r="O159" i="8"/>
  <c r="AX159" i="8" s="1"/>
  <c r="N159" i="8"/>
  <c r="AW159" i="8" s="1"/>
  <c r="M159" i="8"/>
  <c r="AV159" i="8" s="1"/>
  <c r="P158" i="8"/>
  <c r="AY158" i="8" s="1"/>
  <c r="O158" i="8"/>
  <c r="AX158" i="8" s="1"/>
  <c r="N158" i="8"/>
  <c r="AW158" i="8" s="1"/>
  <c r="M158" i="8"/>
  <c r="AV158" i="8" s="1"/>
  <c r="P157" i="8"/>
  <c r="AY157" i="8" s="1"/>
  <c r="O157" i="8"/>
  <c r="AX157" i="8" s="1"/>
  <c r="N157" i="8"/>
  <c r="AW157" i="8" s="1"/>
  <c r="M157" i="8"/>
  <c r="AV157" i="8" s="1"/>
  <c r="P156" i="8"/>
  <c r="AY156" i="8" s="1"/>
  <c r="O156" i="8"/>
  <c r="AX156" i="8" s="1"/>
  <c r="N156" i="8"/>
  <c r="AW156" i="8" s="1"/>
  <c r="M156" i="8"/>
  <c r="AV156" i="8" s="1"/>
  <c r="P155" i="8"/>
  <c r="AY155" i="8" s="1"/>
  <c r="O155" i="8"/>
  <c r="AX155" i="8" s="1"/>
  <c r="N155" i="8"/>
  <c r="AW155" i="8" s="1"/>
  <c r="M155" i="8"/>
  <c r="AV155" i="8" s="1"/>
  <c r="P154" i="8"/>
  <c r="AY154" i="8" s="1"/>
  <c r="O154" i="8"/>
  <c r="AX154" i="8" s="1"/>
  <c r="N154" i="8"/>
  <c r="AW154" i="8" s="1"/>
  <c r="M154" i="8"/>
  <c r="AV154" i="8" s="1"/>
  <c r="P153" i="8"/>
  <c r="AY153" i="8" s="1"/>
  <c r="O153" i="8"/>
  <c r="AX153" i="8" s="1"/>
  <c r="N153" i="8"/>
  <c r="AW153" i="8" s="1"/>
  <c r="M153" i="8"/>
  <c r="AV153" i="8" s="1"/>
  <c r="P152" i="8"/>
  <c r="AY152" i="8" s="1"/>
  <c r="O152" i="8"/>
  <c r="AX152" i="8" s="1"/>
  <c r="N152" i="8"/>
  <c r="AW152" i="8" s="1"/>
  <c r="M152" i="8"/>
  <c r="AV152" i="8" s="1"/>
  <c r="P151" i="8"/>
  <c r="AY151" i="8" s="1"/>
  <c r="O151" i="8"/>
  <c r="AX151" i="8" s="1"/>
  <c r="N151" i="8"/>
  <c r="AW151" i="8" s="1"/>
  <c r="M151" i="8"/>
  <c r="AV151" i="8" s="1"/>
  <c r="P150" i="8"/>
  <c r="AY150" i="8" s="1"/>
  <c r="O150" i="8"/>
  <c r="AX150" i="8" s="1"/>
  <c r="N150" i="8"/>
  <c r="AW150" i="8" s="1"/>
  <c r="M150" i="8"/>
  <c r="AV150" i="8" s="1"/>
  <c r="P149" i="8"/>
  <c r="AY149" i="8" s="1"/>
  <c r="O149" i="8"/>
  <c r="AX149" i="8" s="1"/>
  <c r="N149" i="8"/>
  <c r="AW149" i="8" s="1"/>
  <c r="M149" i="8"/>
  <c r="AV149" i="8" s="1"/>
  <c r="P148" i="8"/>
  <c r="AY148" i="8" s="1"/>
  <c r="O148" i="8"/>
  <c r="AX148" i="8" s="1"/>
  <c r="N148" i="8"/>
  <c r="AW148" i="8" s="1"/>
  <c r="M148" i="8"/>
  <c r="AV148" i="8" s="1"/>
  <c r="P147" i="8"/>
  <c r="AY147" i="8" s="1"/>
  <c r="O147" i="8"/>
  <c r="AX147" i="8" s="1"/>
  <c r="N147" i="8"/>
  <c r="AW147" i="8" s="1"/>
  <c r="M147" i="8"/>
  <c r="AV147" i="8" s="1"/>
  <c r="P146" i="8"/>
  <c r="AY146" i="8" s="1"/>
  <c r="O146" i="8"/>
  <c r="AX146" i="8" s="1"/>
  <c r="N146" i="8"/>
  <c r="AW146" i="8" s="1"/>
  <c r="M146" i="8"/>
  <c r="AV146" i="8" s="1"/>
  <c r="P145" i="8"/>
  <c r="AY145" i="8" s="1"/>
  <c r="O145" i="8"/>
  <c r="AX145" i="8" s="1"/>
  <c r="N145" i="8"/>
  <c r="AW145" i="8" s="1"/>
  <c r="M145" i="8"/>
  <c r="AV145" i="8" s="1"/>
  <c r="P144" i="8"/>
  <c r="AY144" i="8" s="1"/>
  <c r="O144" i="8"/>
  <c r="AX144" i="8" s="1"/>
  <c r="N144" i="8"/>
  <c r="AW144" i="8" s="1"/>
  <c r="M144" i="8"/>
  <c r="AV144" i="8" s="1"/>
  <c r="P143" i="8"/>
  <c r="AY143" i="8" s="1"/>
  <c r="O143" i="8"/>
  <c r="AX143" i="8" s="1"/>
  <c r="N143" i="8"/>
  <c r="AW143" i="8" s="1"/>
  <c r="M143" i="8"/>
  <c r="AV143" i="8" s="1"/>
  <c r="P142" i="8"/>
  <c r="AY142" i="8" s="1"/>
  <c r="O142" i="8"/>
  <c r="AX142" i="8" s="1"/>
  <c r="N142" i="8"/>
  <c r="AW142" i="8" s="1"/>
  <c r="M142" i="8"/>
  <c r="AV142" i="8" s="1"/>
  <c r="P141" i="8"/>
  <c r="AY141" i="8" s="1"/>
  <c r="O141" i="8"/>
  <c r="AX141" i="8" s="1"/>
  <c r="N141" i="8"/>
  <c r="AW141" i="8" s="1"/>
  <c r="M141" i="8"/>
  <c r="AV141" i="8" s="1"/>
  <c r="P140" i="8"/>
  <c r="AY140" i="8" s="1"/>
  <c r="O140" i="8"/>
  <c r="AX140" i="8" s="1"/>
  <c r="N140" i="8"/>
  <c r="AW140" i="8" s="1"/>
  <c r="M140" i="8"/>
  <c r="AV140" i="8" s="1"/>
  <c r="P139" i="8"/>
  <c r="AY139" i="8" s="1"/>
  <c r="O139" i="8"/>
  <c r="AX139" i="8" s="1"/>
  <c r="N139" i="8"/>
  <c r="AW139" i="8" s="1"/>
  <c r="M139" i="8"/>
  <c r="AV139" i="8" s="1"/>
  <c r="P138" i="8"/>
  <c r="AY138" i="8" s="1"/>
  <c r="O138" i="8"/>
  <c r="AX138" i="8" s="1"/>
  <c r="N138" i="8"/>
  <c r="AW138" i="8" s="1"/>
  <c r="M138" i="8"/>
  <c r="AV138" i="8" s="1"/>
  <c r="P137" i="8"/>
  <c r="AY137" i="8" s="1"/>
  <c r="O137" i="8"/>
  <c r="AX137" i="8" s="1"/>
  <c r="N137" i="8"/>
  <c r="AW137" i="8" s="1"/>
  <c r="M137" i="8"/>
  <c r="AV137" i="8" s="1"/>
  <c r="P136" i="8"/>
  <c r="AY136" i="8" s="1"/>
  <c r="O136" i="8"/>
  <c r="AX136" i="8" s="1"/>
  <c r="N136" i="8"/>
  <c r="AW136" i="8" s="1"/>
  <c r="M136" i="8"/>
  <c r="AV136" i="8" s="1"/>
  <c r="P135" i="8"/>
  <c r="AY135" i="8" s="1"/>
  <c r="O135" i="8"/>
  <c r="AX135" i="8" s="1"/>
  <c r="N135" i="8"/>
  <c r="AW135" i="8" s="1"/>
  <c r="M135" i="8"/>
  <c r="AV135" i="8" s="1"/>
  <c r="P134" i="8"/>
  <c r="AY134" i="8" s="1"/>
  <c r="O134" i="8"/>
  <c r="AX134" i="8" s="1"/>
  <c r="N134" i="8"/>
  <c r="AW134" i="8" s="1"/>
  <c r="M134" i="8"/>
  <c r="AV134" i="8" s="1"/>
  <c r="P133" i="8"/>
  <c r="AY133" i="8" s="1"/>
  <c r="O133" i="8"/>
  <c r="AX133" i="8" s="1"/>
  <c r="N133" i="8"/>
  <c r="AW133" i="8" s="1"/>
  <c r="M133" i="8"/>
  <c r="AV133" i="8" s="1"/>
  <c r="P132" i="8"/>
  <c r="AY132" i="8" s="1"/>
  <c r="O132" i="8"/>
  <c r="AX132" i="8" s="1"/>
  <c r="N132" i="8"/>
  <c r="AW132" i="8" s="1"/>
  <c r="M132" i="8"/>
  <c r="AV132" i="8" s="1"/>
  <c r="P131" i="8"/>
  <c r="AY131" i="8" s="1"/>
  <c r="O131" i="8"/>
  <c r="AX131" i="8" s="1"/>
  <c r="N131" i="8"/>
  <c r="AW131" i="8" s="1"/>
  <c r="M131" i="8"/>
  <c r="AV131" i="8" s="1"/>
  <c r="P130" i="8"/>
  <c r="AY130" i="8" s="1"/>
  <c r="O130" i="8"/>
  <c r="AX130" i="8" s="1"/>
  <c r="N130" i="8"/>
  <c r="AW130" i="8" s="1"/>
  <c r="M130" i="8"/>
  <c r="AV130" i="8" s="1"/>
  <c r="P129" i="8"/>
  <c r="AY129" i="8" s="1"/>
  <c r="O129" i="8"/>
  <c r="AX129" i="8" s="1"/>
  <c r="N129" i="8"/>
  <c r="AW129" i="8" s="1"/>
  <c r="M129" i="8"/>
  <c r="AV129" i="8" s="1"/>
  <c r="P128" i="8"/>
  <c r="AY128" i="8" s="1"/>
  <c r="O128" i="8"/>
  <c r="AX128" i="8" s="1"/>
  <c r="N128" i="8"/>
  <c r="AW128" i="8" s="1"/>
  <c r="M128" i="8"/>
  <c r="AV128" i="8" s="1"/>
  <c r="P127" i="8"/>
  <c r="AY127" i="8" s="1"/>
  <c r="O127" i="8"/>
  <c r="AX127" i="8" s="1"/>
  <c r="N127" i="8"/>
  <c r="AW127" i="8" s="1"/>
  <c r="M127" i="8"/>
  <c r="AV127" i="8" s="1"/>
  <c r="P126" i="8"/>
  <c r="AY126" i="8" s="1"/>
  <c r="O126" i="8"/>
  <c r="AX126" i="8" s="1"/>
  <c r="N126" i="8"/>
  <c r="AW126" i="8" s="1"/>
  <c r="M126" i="8"/>
  <c r="AV126" i="8" s="1"/>
  <c r="P125" i="8"/>
  <c r="AY125" i="8" s="1"/>
  <c r="O125" i="8"/>
  <c r="AX125" i="8" s="1"/>
  <c r="N125" i="8"/>
  <c r="AW125" i="8" s="1"/>
  <c r="M125" i="8"/>
  <c r="AV125" i="8" s="1"/>
  <c r="P124" i="8"/>
  <c r="AY124" i="8" s="1"/>
  <c r="O124" i="8"/>
  <c r="AX124" i="8" s="1"/>
  <c r="N124" i="8"/>
  <c r="AW124" i="8" s="1"/>
  <c r="M124" i="8"/>
  <c r="AV124" i="8" s="1"/>
  <c r="P123" i="8"/>
  <c r="AY123" i="8" s="1"/>
  <c r="O123" i="8"/>
  <c r="AX123" i="8" s="1"/>
  <c r="N123" i="8"/>
  <c r="AW123" i="8" s="1"/>
  <c r="M123" i="8"/>
  <c r="AV123" i="8" s="1"/>
  <c r="P122" i="8"/>
  <c r="AY122" i="8" s="1"/>
  <c r="O122" i="8"/>
  <c r="AX122" i="8" s="1"/>
  <c r="N122" i="8"/>
  <c r="AW122" i="8" s="1"/>
  <c r="M122" i="8"/>
  <c r="AV122" i="8" s="1"/>
  <c r="P121" i="8"/>
  <c r="AY121" i="8" s="1"/>
  <c r="O121" i="8"/>
  <c r="AX121" i="8" s="1"/>
  <c r="N121" i="8"/>
  <c r="AW121" i="8" s="1"/>
  <c r="M121" i="8"/>
  <c r="AV121" i="8" s="1"/>
  <c r="P120" i="8"/>
  <c r="AY120" i="8" s="1"/>
  <c r="O120" i="8"/>
  <c r="AX120" i="8" s="1"/>
  <c r="N120" i="8"/>
  <c r="AW120" i="8" s="1"/>
  <c r="M120" i="8"/>
  <c r="AV120" i="8" s="1"/>
  <c r="P119" i="8"/>
  <c r="AY119" i="8" s="1"/>
  <c r="O119" i="8"/>
  <c r="AX119" i="8" s="1"/>
  <c r="N119" i="8"/>
  <c r="AW119" i="8" s="1"/>
  <c r="M119" i="8"/>
  <c r="AV119" i="8" s="1"/>
  <c r="P118" i="8"/>
  <c r="AY118" i="8" s="1"/>
  <c r="O118" i="8"/>
  <c r="AX118" i="8" s="1"/>
  <c r="N118" i="8"/>
  <c r="AW118" i="8" s="1"/>
  <c r="M118" i="8"/>
  <c r="AV118" i="8" s="1"/>
  <c r="P117" i="8"/>
  <c r="AY117" i="8" s="1"/>
  <c r="O117" i="8"/>
  <c r="AX117" i="8" s="1"/>
  <c r="N117" i="8"/>
  <c r="AW117" i="8" s="1"/>
  <c r="M117" i="8"/>
  <c r="AV117" i="8" s="1"/>
  <c r="P107" i="8"/>
  <c r="AY107" i="8" s="1"/>
  <c r="AY108" i="8" s="1"/>
  <c r="O107" i="8"/>
  <c r="N107" i="8"/>
  <c r="M107" i="8"/>
  <c r="AV107" i="8" s="1"/>
  <c r="AV108" i="8" s="1"/>
  <c r="P116" i="8"/>
  <c r="AY116" i="8" s="1"/>
  <c r="O116" i="8"/>
  <c r="AX116" i="8" s="1"/>
  <c r="N116" i="8"/>
  <c r="AW116" i="8" s="1"/>
  <c r="M116" i="8"/>
  <c r="AV116" i="8" s="1"/>
  <c r="P115" i="8"/>
  <c r="AY115" i="8" s="1"/>
  <c r="O115" i="8"/>
  <c r="AX115" i="8" s="1"/>
  <c r="N115" i="8"/>
  <c r="AW115" i="8" s="1"/>
  <c r="M115" i="8"/>
  <c r="AV115" i="8" s="1"/>
  <c r="P114" i="8"/>
  <c r="AY114" i="8" s="1"/>
  <c r="O114" i="8"/>
  <c r="AX114" i="8" s="1"/>
  <c r="N114" i="8"/>
  <c r="AW114" i="8" s="1"/>
  <c r="M114" i="8"/>
  <c r="AV114" i="8" s="1"/>
  <c r="P113" i="8"/>
  <c r="AY113" i="8" s="1"/>
  <c r="O113" i="8"/>
  <c r="AX113" i="8" s="1"/>
  <c r="N113" i="8"/>
  <c r="AW113" i="8" s="1"/>
  <c r="M113" i="8"/>
  <c r="AV113" i="8" s="1"/>
  <c r="P112" i="8"/>
  <c r="AY112" i="8" s="1"/>
  <c r="O112" i="8"/>
  <c r="AX112" i="8" s="1"/>
  <c r="N112" i="8"/>
  <c r="AW112" i="8" s="1"/>
  <c r="M112" i="8"/>
  <c r="AV112" i="8" s="1"/>
  <c r="P111" i="8"/>
  <c r="AY111" i="8" s="1"/>
  <c r="O111" i="8"/>
  <c r="AX111" i="8" s="1"/>
  <c r="N111" i="8"/>
  <c r="AW111" i="8" s="1"/>
  <c r="M111" i="8"/>
  <c r="AV111" i="8" s="1"/>
  <c r="P110" i="8"/>
  <c r="AY110" i="8" s="1"/>
  <c r="O110" i="8"/>
  <c r="AX110" i="8" s="1"/>
  <c r="N110" i="8"/>
  <c r="AW110" i="8" s="1"/>
  <c r="M110" i="8"/>
  <c r="AV110" i="8" s="1"/>
  <c r="P109" i="8"/>
  <c r="O109" i="8"/>
  <c r="N109" i="8"/>
  <c r="M109" i="8"/>
  <c r="P105" i="8"/>
  <c r="AY105" i="8" s="1"/>
  <c r="O105" i="8"/>
  <c r="AX105" i="8" s="1"/>
  <c r="N105" i="8"/>
  <c r="AW105" i="8" s="1"/>
  <c r="M105" i="8"/>
  <c r="AV105" i="8" s="1"/>
  <c r="P104" i="8"/>
  <c r="AY104" i="8" s="1"/>
  <c r="O104" i="8"/>
  <c r="AX104" i="8" s="1"/>
  <c r="N104" i="8"/>
  <c r="AW104" i="8" s="1"/>
  <c r="M104" i="8"/>
  <c r="AV104" i="8" s="1"/>
  <c r="P103" i="8"/>
  <c r="AY103" i="8" s="1"/>
  <c r="O103" i="8"/>
  <c r="AX103" i="8" s="1"/>
  <c r="N103" i="8"/>
  <c r="AW103" i="8" s="1"/>
  <c r="M103" i="8"/>
  <c r="AV103" i="8" s="1"/>
  <c r="P102" i="8"/>
  <c r="AY102" i="8" s="1"/>
  <c r="O102" i="8"/>
  <c r="AX102" i="8" s="1"/>
  <c r="N102" i="8"/>
  <c r="AW102" i="8" s="1"/>
  <c r="M102" i="8"/>
  <c r="AV102" i="8" s="1"/>
  <c r="P101" i="8"/>
  <c r="AY101" i="8" s="1"/>
  <c r="O101" i="8"/>
  <c r="AX101" i="8" s="1"/>
  <c r="N101" i="8"/>
  <c r="AW101" i="8" s="1"/>
  <c r="M101" i="8"/>
  <c r="AV101" i="8" s="1"/>
  <c r="P100" i="8"/>
  <c r="AY100" i="8" s="1"/>
  <c r="O100" i="8"/>
  <c r="AX100" i="8" s="1"/>
  <c r="N100" i="8"/>
  <c r="AW100" i="8" s="1"/>
  <c r="M100" i="8"/>
  <c r="AV100" i="8" s="1"/>
  <c r="P99" i="8"/>
  <c r="AY99" i="8" s="1"/>
  <c r="O99" i="8"/>
  <c r="AX99" i="8" s="1"/>
  <c r="N99" i="8"/>
  <c r="AW99" i="8" s="1"/>
  <c r="M99" i="8"/>
  <c r="AV99" i="8" s="1"/>
  <c r="P98" i="8"/>
  <c r="AY98" i="8" s="1"/>
  <c r="O98" i="8"/>
  <c r="AX98" i="8" s="1"/>
  <c r="N98" i="8"/>
  <c r="AW98" i="8" s="1"/>
  <c r="M98" i="8"/>
  <c r="AV98" i="8" s="1"/>
  <c r="P97" i="8"/>
  <c r="AY97" i="8" s="1"/>
  <c r="O97" i="8"/>
  <c r="AX97" i="8" s="1"/>
  <c r="N97" i="8"/>
  <c r="AW97" i="8" s="1"/>
  <c r="M97" i="8"/>
  <c r="AV97" i="8" s="1"/>
  <c r="P96" i="8"/>
  <c r="AY96" i="8" s="1"/>
  <c r="O96" i="8"/>
  <c r="AX96" i="8" s="1"/>
  <c r="N96" i="8"/>
  <c r="AW96" i="8" s="1"/>
  <c r="M96" i="8"/>
  <c r="AV96" i="8" s="1"/>
  <c r="P95" i="8"/>
  <c r="AY95" i="8" s="1"/>
  <c r="O95" i="8"/>
  <c r="AX95" i="8" s="1"/>
  <c r="N95" i="8"/>
  <c r="AW95" i="8" s="1"/>
  <c r="M95" i="8"/>
  <c r="AV95" i="8" s="1"/>
  <c r="P94" i="8"/>
  <c r="AY94" i="8" s="1"/>
  <c r="O94" i="8"/>
  <c r="AX94" i="8" s="1"/>
  <c r="N94" i="8"/>
  <c r="AW94" i="8" s="1"/>
  <c r="M94" i="8"/>
  <c r="AV94" i="8" s="1"/>
  <c r="P93" i="8"/>
  <c r="AY93" i="8" s="1"/>
  <c r="O93" i="8"/>
  <c r="AX93" i="8" s="1"/>
  <c r="N93" i="8"/>
  <c r="AW93" i="8" s="1"/>
  <c r="M93" i="8"/>
  <c r="AV93" i="8" s="1"/>
  <c r="P92" i="8"/>
  <c r="AY92" i="8" s="1"/>
  <c r="O92" i="8"/>
  <c r="AX92" i="8" s="1"/>
  <c r="N92" i="8"/>
  <c r="AW92" i="8" s="1"/>
  <c r="M92" i="8"/>
  <c r="AV92" i="8" s="1"/>
  <c r="P91" i="8"/>
  <c r="AY91" i="8" s="1"/>
  <c r="O91" i="8"/>
  <c r="AX91" i="8" s="1"/>
  <c r="N91" i="8"/>
  <c r="AW91" i="8" s="1"/>
  <c r="M91" i="8"/>
  <c r="AV91" i="8" s="1"/>
  <c r="P90" i="8"/>
  <c r="AY90" i="8" s="1"/>
  <c r="O90" i="8"/>
  <c r="AX90" i="8" s="1"/>
  <c r="N90" i="8"/>
  <c r="AW90" i="8" s="1"/>
  <c r="M90" i="8"/>
  <c r="AV90" i="8" s="1"/>
  <c r="P89" i="8"/>
  <c r="AY89" i="8" s="1"/>
  <c r="O89" i="8"/>
  <c r="AX89" i="8" s="1"/>
  <c r="N89" i="8"/>
  <c r="AW89" i="8" s="1"/>
  <c r="M89" i="8"/>
  <c r="AV89" i="8" s="1"/>
  <c r="P88" i="8"/>
  <c r="AY88" i="8" s="1"/>
  <c r="O88" i="8"/>
  <c r="AX88" i="8" s="1"/>
  <c r="N88" i="8"/>
  <c r="AW88" i="8" s="1"/>
  <c r="M88" i="8"/>
  <c r="AV88" i="8" s="1"/>
  <c r="P87" i="8"/>
  <c r="AY87" i="8" s="1"/>
  <c r="O87" i="8"/>
  <c r="AX87" i="8" s="1"/>
  <c r="N87" i="8"/>
  <c r="AW87" i="8" s="1"/>
  <c r="M87" i="8"/>
  <c r="AV87" i="8" s="1"/>
  <c r="P86" i="8"/>
  <c r="AY86" i="8" s="1"/>
  <c r="O86" i="8"/>
  <c r="AX86" i="8" s="1"/>
  <c r="N86" i="8"/>
  <c r="AW86" i="8" s="1"/>
  <c r="M86" i="8"/>
  <c r="AV86" i="8" s="1"/>
  <c r="P85" i="8"/>
  <c r="AY85" i="8" s="1"/>
  <c r="O85" i="8"/>
  <c r="AX85" i="8" s="1"/>
  <c r="N85" i="8"/>
  <c r="AW85" i="8" s="1"/>
  <c r="M85" i="8"/>
  <c r="AV85" i="8" s="1"/>
  <c r="P84" i="8"/>
  <c r="AY84" i="8" s="1"/>
  <c r="O84" i="8"/>
  <c r="AX84" i="8" s="1"/>
  <c r="N84" i="8"/>
  <c r="AW84" i="8" s="1"/>
  <c r="M84" i="8"/>
  <c r="AV84" i="8" s="1"/>
  <c r="P83" i="8"/>
  <c r="AY83" i="8" s="1"/>
  <c r="O83" i="8"/>
  <c r="AX83" i="8" s="1"/>
  <c r="N83" i="8"/>
  <c r="AW83" i="8" s="1"/>
  <c r="M83" i="8"/>
  <c r="AV83" i="8" s="1"/>
  <c r="P82" i="8"/>
  <c r="AY82" i="8" s="1"/>
  <c r="O82" i="8"/>
  <c r="AX82" i="8" s="1"/>
  <c r="N82" i="8"/>
  <c r="AW82" i="8" s="1"/>
  <c r="M82" i="8"/>
  <c r="AV82" i="8" s="1"/>
  <c r="P81" i="8"/>
  <c r="AY81" i="8" s="1"/>
  <c r="O81" i="8"/>
  <c r="AX81" i="8" s="1"/>
  <c r="N81" i="8"/>
  <c r="AW81" i="8" s="1"/>
  <c r="M81" i="8"/>
  <c r="AV81" i="8" s="1"/>
  <c r="P80" i="8"/>
  <c r="AY80" i="8" s="1"/>
  <c r="O80" i="8"/>
  <c r="AX80" i="8" s="1"/>
  <c r="N80" i="8"/>
  <c r="AW80" i="8" s="1"/>
  <c r="M80" i="8"/>
  <c r="AV80" i="8" s="1"/>
  <c r="P79" i="8"/>
  <c r="AY79" i="8" s="1"/>
  <c r="O79" i="8"/>
  <c r="AX79" i="8" s="1"/>
  <c r="N79" i="8"/>
  <c r="AW79" i="8" s="1"/>
  <c r="M79" i="8"/>
  <c r="AV79" i="8" s="1"/>
  <c r="P78" i="8"/>
  <c r="AY78" i="8" s="1"/>
  <c r="O78" i="8"/>
  <c r="AX78" i="8" s="1"/>
  <c r="N78" i="8"/>
  <c r="AW78" i="8" s="1"/>
  <c r="M78" i="8"/>
  <c r="AV78" i="8" s="1"/>
  <c r="P77" i="8"/>
  <c r="AY77" i="8" s="1"/>
  <c r="O77" i="8"/>
  <c r="AX77" i="8" s="1"/>
  <c r="N77" i="8"/>
  <c r="AW77" i="8" s="1"/>
  <c r="M77" i="8"/>
  <c r="AV77" i="8" s="1"/>
  <c r="P76" i="8"/>
  <c r="O76" i="8"/>
  <c r="N76" i="8"/>
  <c r="M76" i="8"/>
  <c r="P74" i="8"/>
  <c r="AY74" i="8" s="1"/>
  <c r="O74" i="8"/>
  <c r="N74" i="8"/>
  <c r="M74" i="8"/>
  <c r="AV74" i="8" s="1"/>
  <c r="P72" i="8"/>
  <c r="AY72" i="8" s="1"/>
  <c r="O72" i="8"/>
  <c r="AX72" i="8" s="1"/>
  <c r="N72" i="8"/>
  <c r="AW72" i="8" s="1"/>
  <c r="M72" i="8"/>
  <c r="AV72" i="8" s="1"/>
  <c r="P71" i="8"/>
  <c r="AY71" i="8" s="1"/>
  <c r="O71" i="8"/>
  <c r="AX71" i="8" s="1"/>
  <c r="N71" i="8"/>
  <c r="AW71" i="8" s="1"/>
  <c r="M71" i="8"/>
  <c r="AV71" i="8" s="1"/>
  <c r="P70" i="8"/>
  <c r="AY70" i="8" s="1"/>
  <c r="O70" i="8"/>
  <c r="AX70" i="8" s="1"/>
  <c r="N70" i="8"/>
  <c r="AW70" i="8" s="1"/>
  <c r="M70" i="8"/>
  <c r="AV70" i="8" s="1"/>
  <c r="P69" i="8"/>
  <c r="AY69" i="8" s="1"/>
  <c r="O69" i="8"/>
  <c r="AX69" i="8" s="1"/>
  <c r="N69" i="8"/>
  <c r="AW69" i="8" s="1"/>
  <c r="M69" i="8"/>
  <c r="AV69" i="8" s="1"/>
  <c r="P68" i="8"/>
  <c r="AY68" i="8" s="1"/>
  <c r="O68" i="8"/>
  <c r="AX68" i="8" s="1"/>
  <c r="N68" i="8"/>
  <c r="AW68" i="8" s="1"/>
  <c r="M68" i="8"/>
  <c r="AV68" i="8" s="1"/>
  <c r="P67" i="8"/>
  <c r="AY67" i="8" s="1"/>
  <c r="O67" i="8"/>
  <c r="AX67" i="8" s="1"/>
  <c r="N67" i="8"/>
  <c r="AW67" i="8" s="1"/>
  <c r="M67" i="8"/>
  <c r="AV67" i="8" s="1"/>
  <c r="P66" i="8"/>
  <c r="AY66" i="8" s="1"/>
  <c r="O66" i="8"/>
  <c r="AX66" i="8" s="1"/>
  <c r="N66" i="8"/>
  <c r="AW66" i="8" s="1"/>
  <c r="M66" i="8"/>
  <c r="AV66" i="8" s="1"/>
  <c r="P65" i="8"/>
  <c r="AY65" i="8" s="1"/>
  <c r="O65" i="8"/>
  <c r="AX65" i="8" s="1"/>
  <c r="N65" i="8"/>
  <c r="AW65" i="8" s="1"/>
  <c r="M65" i="8"/>
  <c r="AV65" i="8" s="1"/>
  <c r="P64" i="8"/>
  <c r="AY64" i="8" s="1"/>
  <c r="O64" i="8"/>
  <c r="AX64" i="8" s="1"/>
  <c r="N64" i="8"/>
  <c r="AW64" i="8" s="1"/>
  <c r="M64" i="8"/>
  <c r="AV64" i="8" s="1"/>
  <c r="P63" i="8"/>
  <c r="AY63" i="8" s="1"/>
  <c r="O63" i="8"/>
  <c r="AX63" i="8" s="1"/>
  <c r="N63" i="8"/>
  <c r="AW63" i="8" s="1"/>
  <c r="M63" i="8"/>
  <c r="AV63" i="8" s="1"/>
  <c r="P62" i="8"/>
  <c r="AY62" i="8" s="1"/>
  <c r="O62" i="8"/>
  <c r="AX62" i="8" s="1"/>
  <c r="N62" i="8"/>
  <c r="AW62" i="8" s="1"/>
  <c r="M62" i="8"/>
  <c r="AV62" i="8" s="1"/>
  <c r="P61" i="8"/>
  <c r="AY61" i="8" s="1"/>
  <c r="O61" i="8"/>
  <c r="AX61" i="8" s="1"/>
  <c r="N61" i="8"/>
  <c r="AW61" i="8" s="1"/>
  <c r="M61" i="8"/>
  <c r="AV61" i="8" s="1"/>
  <c r="P60" i="8"/>
  <c r="AY60" i="8" s="1"/>
  <c r="O60" i="8"/>
  <c r="AX60" i="8" s="1"/>
  <c r="N60" i="8"/>
  <c r="AW60" i="8" s="1"/>
  <c r="M60" i="8"/>
  <c r="AV60" i="8" s="1"/>
  <c r="P59" i="8"/>
  <c r="AY59" i="8" s="1"/>
  <c r="O59" i="8"/>
  <c r="AX59" i="8" s="1"/>
  <c r="N59" i="8"/>
  <c r="AW59" i="8" s="1"/>
  <c r="M59" i="8"/>
  <c r="AV59" i="8" s="1"/>
  <c r="P57" i="8"/>
  <c r="AY57" i="8" s="1"/>
  <c r="O57" i="8"/>
  <c r="AX57" i="8" s="1"/>
  <c r="N57" i="8"/>
  <c r="AW57" i="8" s="1"/>
  <c r="M57" i="8"/>
  <c r="AV57" i="8" s="1"/>
  <c r="P56" i="8"/>
  <c r="AY56" i="8" s="1"/>
  <c r="O56" i="8"/>
  <c r="AX56" i="8" s="1"/>
  <c r="N56" i="8"/>
  <c r="AW56" i="8" s="1"/>
  <c r="M56" i="8"/>
  <c r="AV56" i="8" s="1"/>
  <c r="P55" i="8"/>
  <c r="AY55" i="8" s="1"/>
  <c r="O55" i="8"/>
  <c r="AX55" i="8" s="1"/>
  <c r="N55" i="8"/>
  <c r="AW55" i="8" s="1"/>
  <c r="M55" i="8"/>
  <c r="AV55" i="8" s="1"/>
  <c r="P54" i="8"/>
  <c r="AY54" i="8" s="1"/>
  <c r="O54" i="8"/>
  <c r="AX54" i="8" s="1"/>
  <c r="N54" i="8"/>
  <c r="AW54" i="8" s="1"/>
  <c r="M54" i="8"/>
  <c r="AV54" i="8" s="1"/>
  <c r="P53" i="8"/>
  <c r="AY53" i="8" s="1"/>
  <c r="O53" i="8"/>
  <c r="AX53" i="8" s="1"/>
  <c r="N53" i="8"/>
  <c r="AW53" i="8" s="1"/>
  <c r="M53" i="8"/>
  <c r="AV53" i="8" s="1"/>
  <c r="P52" i="8"/>
  <c r="AY52" i="8" s="1"/>
  <c r="O52" i="8"/>
  <c r="AX52" i="8" s="1"/>
  <c r="N52" i="8"/>
  <c r="AW52" i="8" s="1"/>
  <c r="M52" i="8"/>
  <c r="AV52" i="8" s="1"/>
  <c r="P51" i="8"/>
  <c r="AY51" i="8" s="1"/>
  <c r="O51" i="8"/>
  <c r="AX51" i="8" s="1"/>
  <c r="N51" i="8"/>
  <c r="AW51" i="8" s="1"/>
  <c r="M51" i="8"/>
  <c r="AV51" i="8" s="1"/>
  <c r="P50" i="8"/>
  <c r="AY50" i="8" s="1"/>
  <c r="O50" i="8"/>
  <c r="AX50" i="8" s="1"/>
  <c r="N50" i="8"/>
  <c r="AW50" i="8" s="1"/>
  <c r="M50" i="8"/>
  <c r="AV50" i="8" s="1"/>
  <c r="P49" i="8"/>
  <c r="AY49" i="8" s="1"/>
  <c r="O49" i="8"/>
  <c r="AX49" i="8" s="1"/>
  <c r="N49" i="8"/>
  <c r="AW49" i="8" s="1"/>
  <c r="M49" i="8"/>
  <c r="AV49" i="8" s="1"/>
  <c r="P48" i="8"/>
  <c r="AY48" i="8" s="1"/>
  <c r="O48" i="8"/>
  <c r="AX48" i="8" s="1"/>
  <c r="N48" i="8"/>
  <c r="AW48" i="8" s="1"/>
  <c r="M48" i="8"/>
  <c r="AV48" i="8" s="1"/>
  <c r="P47" i="8"/>
  <c r="AY47" i="8" s="1"/>
  <c r="O47" i="8"/>
  <c r="AX47" i="8" s="1"/>
  <c r="N47" i="8"/>
  <c r="AW47" i="8" s="1"/>
  <c r="M47" i="8"/>
  <c r="AV47" i="8" s="1"/>
  <c r="P46" i="8"/>
  <c r="AY46" i="8" s="1"/>
  <c r="O46" i="8"/>
  <c r="AX46" i="8" s="1"/>
  <c r="N46" i="8"/>
  <c r="AW46" i="8" s="1"/>
  <c r="M46" i="8"/>
  <c r="AV46" i="8" s="1"/>
  <c r="P45" i="8"/>
  <c r="AY45" i="8" s="1"/>
  <c r="O45" i="8"/>
  <c r="AX45" i="8" s="1"/>
  <c r="N45" i="8"/>
  <c r="AW45" i="8" s="1"/>
  <c r="M45" i="8"/>
  <c r="AV45" i="8" s="1"/>
  <c r="P44" i="8"/>
  <c r="AY44" i="8" s="1"/>
  <c r="O44" i="8"/>
  <c r="AX44" i="8" s="1"/>
  <c r="N44" i="8"/>
  <c r="AW44" i="8" s="1"/>
  <c r="M44" i="8"/>
  <c r="AV44" i="8" s="1"/>
  <c r="P43" i="8"/>
  <c r="AY43" i="8" s="1"/>
  <c r="O43" i="8"/>
  <c r="AX43" i="8" s="1"/>
  <c r="N43" i="8"/>
  <c r="AW43" i="8" s="1"/>
  <c r="M43" i="8"/>
  <c r="AV43" i="8" s="1"/>
  <c r="P42" i="8"/>
  <c r="AY42" i="8" s="1"/>
  <c r="O42" i="8"/>
  <c r="AX42" i="8" s="1"/>
  <c r="N42" i="8"/>
  <c r="AW42" i="8" s="1"/>
  <c r="M42" i="8"/>
  <c r="AV42" i="8" s="1"/>
  <c r="P41" i="8"/>
  <c r="AY41" i="8" s="1"/>
  <c r="O41" i="8"/>
  <c r="AX41" i="8" s="1"/>
  <c r="N41" i="8"/>
  <c r="AW41" i="8" s="1"/>
  <c r="M41" i="8"/>
  <c r="AV41" i="8" s="1"/>
  <c r="P40" i="8"/>
  <c r="AY40" i="8" s="1"/>
  <c r="O40" i="8"/>
  <c r="AX40" i="8" s="1"/>
  <c r="N40" i="8"/>
  <c r="AW40" i="8" s="1"/>
  <c r="M40" i="8"/>
  <c r="AV40" i="8" s="1"/>
  <c r="P39" i="8"/>
  <c r="AY39" i="8" s="1"/>
  <c r="O39" i="8"/>
  <c r="AX39" i="8" s="1"/>
  <c r="N39" i="8"/>
  <c r="AW39" i="8" s="1"/>
  <c r="M39" i="8"/>
  <c r="AV39" i="8" s="1"/>
  <c r="P38" i="8"/>
  <c r="AY38" i="8" s="1"/>
  <c r="O38" i="8"/>
  <c r="AX38" i="8" s="1"/>
  <c r="N38" i="8"/>
  <c r="AW38" i="8" s="1"/>
  <c r="M38" i="8"/>
  <c r="AV38" i="8" s="1"/>
  <c r="O37" i="8"/>
  <c r="AX37" i="8" s="1"/>
  <c r="P37" i="8"/>
  <c r="AY37" i="8" s="1"/>
  <c r="N37" i="8"/>
  <c r="AW37" i="8" s="1"/>
  <c r="M37" i="8"/>
  <c r="AV37" i="8" s="1"/>
  <c r="H174" i="8"/>
  <c r="AQ174" i="8" s="1"/>
  <c r="G174" i="8"/>
  <c r="AP174" i="8" s="1"/>
  <c r="F174" i="8"/>
  <c r="AO174" i="8" s="1"/>
  <c r="E174" i="8"/>
  <c r="AN174" i="8" s="1"/>
  <c r="H173" i="8"/>
  <c r="AQ173" i="8" s="1"/>
  <c r="G173" i="8"/>
  <c r="AP173" i="8" s="1"/>
  <c r="F173" i="8"/>
  <c r="AO173" i="8" s="1"/>
  <c r="E173" i="8"/>
  <c r="AN173" i="8" s="1"/>
  <c r="H172" i="8"/>
  <c r="AQ172" i="8" s="1"/>
  <c r="G172" i="8"/>
  <c r="AP172" i="8" s="1"/>
  <c r="F172" i="8"/>
  <c r="AO172" i="8" s="1"/>
  <c r="E172" i="8"/>
  <c r="AN172" i="8" s="1"/>
  <c r="H171" i="8"/>
  <c r="AQ171" i="8" s="1"/>
  <c r="G171" i="8"/>
  <c r="AP171" i="8" s="1"/>
  <c r="F171" i="8"/>
  <c r="AO171" i="8" s="1"/>
  <c r="E171" i="8"/>
  <c r="AN171" i="8" s="1"/>
  <c r="H170" i="8"/>
  <c r="AQ170" i="8" s="1"/>
  <c r="G170" i="8"/>
  <c r="AP170" i="8" s="1"/>
  <c r="F170" i="8"/>
  <c r="AO170" i="8" s="1"/>
  <c r="E170" i="8"/>
  <c r="AN170" i="8" s="1"/>
  <c r="H169" i="8"/>
  <c r="AQ169" i="8" s="1"/>
  <c r="G169" i="8"/>
  <c r="AP169" i="8" s="1"/>
  <c r="F169" i="8"/>
  <c r="AO169" i="8" s="1"/>
  <c r="E169" i="8"/>
  <c r="AN169" i="8" s="1"/>
  <c r="H168" i="8"/>
  <c r="AQ168" i="8" s="1"/>
  <c r="G168" i="8"/>
  <c r="AP168" i="8" s="1"/>
  <c r="F168" i="8"/>
  <c r="AO168" i="8" s="1"/>
  <c r="E168" i="8"/>
  <c r="AN168" i="8" s="1"/>
  <c r="H167" i="8"/>
  <c r="AQ167" i="8" s="1"/>
  <c r="G167" i="8"/>
  <c r="AP167" i="8" s="1"/>
  <c r="F167" i="8"/>
  <c r="AO167" i="8" s="1"/>
  <c r="E167" i="8"/>
  <c r="AN167" i="8" s="1"/>
  <c r="H165" i="8"/>
  <c r="AQ165" i="8" s="1"/>
  <c r="G165" i="8"/>
  <c r="AP165" i="8" s="1"/>
  <c r="F165" i="8"/>
  <c r="AO165" i="8" s="1"/>
  <c r="E165" i="8"/>
  <c r="AN165" i="8" s="1"/>
  <c r="H164" i="8"/>
  <c r="AQ164" i="8" s="1"/>
  <c r="G164" i="8"/>
  <c r="AP164" i="8" s="1"/>
  <c r="F164" i="8"/>
  <c r="AO164" i="8" s="1"/>
  <c r="E164" i="8"/>
  <c r="AN164" i="8" s="1"/>
  <c r="H163" i="8"/>
  <c r="AQ163" i="8" s="1"/>
  <c r="G163" i="8"/>
  <c r="AP163" i="8" s="1"/>
  <c r="F163" i="8"/>
  <c r="AO163" i="8" s="1"/>
  <c r="E163" i="8"/>
  <c r="AN163" i="8" s="1"/>
  <c r="H162" i="8"/>
  <c r="AQ162" i="8" s="1"/>
  <c r="G162" i="8"/>
  <c r="AP162" i="8" s="1"/>
  <c r="F162" i="8"/>
  <c r="AO162" i="8" s="1"/>
  <c r="E162" i="8"/>
  <c r="AN162" i="8" s="1"/>
  <c r="H161" i="8"/>
  <c r="AQ161" i="8" s="1"/>
  <c r="G161" i="8"/>
  <c r="AP161" i="8" s="1"/>
  <c r="F161" i="8"/>
  <c r="AO161" i="8" s="1"/>
  <c r="E161" i="8"/>
  <c r="AN161" i="8" s="1"/>
  <c r="H160" i="8"/>
  <c r="AQ160" i="8" s="1"/>
  <c r="G160" i="8"/>
  <c r="AP160" i="8" s="1"/>
  <c r="F160" i="8"/>
  <c r="AO160" i="8" s="1"/>
  <c r="E160" i="8"/>
  <c r="AN160" i="8" s="1"/>
  <c r="H159" i="8"/>
  <c r="AQ159" i="8" s="1"/>
  <c r="G159" i="8"/>
  <c r="AP159" i="8" s="1"/>
  <c r="F159" i="8"/>
  <c r="AO159" i="8" s="1"/>
  <c r="E159" i="8"/>
  <c r="AN159" i="8" s="1"/>
  <c r="H158" i="8"/>
  <c r="AQ158" i="8" s="1"/>
  <c r="G158" i="8"/>
  <c r="AP158" i="8" s="1"/>
  <c r="F158" i="8"/>
  <c r="AO158" i="8" s="1"/>
  <c r="E158" i="8"/>
  <c r="AN158" i="8" s="1"/>
  <c r="H157" i="8"/>
  <c r="AQ157" i="8" s="1"/>
  <c r="G157" i="8"/>
  <c r="AP157" i="8" s="1"/>
  <c r="F157" i="8"/>
  <c r="AO157" i="8" s="1"/>
  <c r="E157" i="8"/>
  <c r="AN157" i="8" s="1"/>
  <c r="H156" i="8"/>
  <c r="AQ156" i="8" s="1"/>
  <c r="G156" i="8"/>
  <c r="AP156" i="8" s="1"/>
  <c r="F156" i="8"/>
  <c r="AO156" i="8" s="1"/>
  <c r="E156" i="8"/>
  <c r="AN156" i="8" s="1"/>
  <c r="H155" i="8"/>
  <c r="AQ155" i="8" s="1"/>
  <c r="G155" i="8"/>
  <c r="AP155" i="8" s="1"/>
  <c r="F155" i="8"/>
  <c r="AO155" i="8" s="1"/>
  <c r="E155" i="8"/>
  <c r="AN155" i="8" s="1"/>
  <c r="H154" i="8"/>
  <c r="AQ154" i="8" s="1"/>
  <c r="G154" i="8"/>
  <c r="AP154" i="8" s="1"/>
  <c r="F154" i="8"/>
  <c r="AO154" i="8" s="1"/>
  <c r="E154" i="8"/>
  <c r="AN154" i="8" s="1"/>
  <c r="H153" i="8"/>
  <c r="AQ153" i="8" s="1"/>
  <c r="G153" i="8"/>
  <c r="AP153" i="8" s="1"/>
  <c r="F153" i="8"/>
  <c r="AO153" i="8" s="1"/>
  <c r="E153" i="8"/>
  <c r="AN153" i="8" s="1"/>
  <c r="H152" i="8"/>
  <c r="AQ152" i="8" s="1"/>
  <c r="G152" i="8"/>
  <c r="AP152" i="8" s="1"/>
  <c r="F152" i="8"/>
  <c r="AO152" i="8" s="1"/>
  <c r="E152" i="8"/>
  <c r="AN152" i="8" s="1"/>
  <c r="H151" i="8"/>
  <c r="AQ151" i="8" s="1"/>
  <c r="G151" i="8"/>
  <c r="AP151" i="8" s="1"/>
  <c r="F151" i="8"/>
  <c r="AO151" i="8" s="1"/>
  <c r="E151" i="8"/>
  <c r="AN151" i="8" s="1"/>
  <c r="H150" i="8"/>
  <c r="AQ150" i="8" s="1"/>
  <c r="G150" i="8"/>
  <c r="AP150" i="8" s="1"/>
  <c r="F150" i="8"/>
  <c r="AO150" i="8" s="1"/>
  <c r="E150" i="8"/>
  <c r="AN150" i="8" s="1"/>
  <c r="H149" i="8"/>
  <c r="AQ149" i="8" s="1"/>
  <c r="G149" i="8"/>
  <c r="AP149" i="8" s="1"/>
  <c r="F149" i="8"/>
  <c r="AO149" i="8" s="1"/>
  <c r="E149" i="8"/>
  <c r="AN149" i="8" s="1"/>
  <c r="H148" i="8"/>
  <c r="AQ148" i="8" s="1"/>
  <c r="G148" i="8"/>
  <c r="AP148" i="8" s="1"/>
  <c r="F148" i="8"/>
  <c r="AO148" i="8" s="1"/>
  <c r="E148" i="8"/>
  <c r="AN148" i="8" s="1"/>
  <c r="H147" i="8"/>
  <c r="AQ147" i="8" s="1"/>
  <c r="G147" i="8"/>
  <c r="AP147" i="8" s="1"/>
  <c r="F147" i="8"/>
  <c r="AO147" i="8" s="1"/>
  <c r="E147" i="8"/>
  <c r="AN147" i="8" s="1"/>
  <c r="H146" i="8"/>
  <c r="AQ146" i="8" s="1"/>
  <c r="G146" i="8"/>
  <c r="AP146" i="8" s="1"/>
  <c r="F146" i="8"/>
  <c r="AO146" i="8" s="1"/>
  <c r="E146" i="8"/>
  <c r="AN146" i="8" s="1"/>
  <c r="H145" i="8"/>
  <c r="AQ145" i="8" s="1"/>
  <c r="G145" i="8"/>
  <c r="AP145" i="8" s="1"/>
  <c r="F145" i="8"/>
  <c r="AO145" i="8" s="1"/>
  <c r="E145" i="8"/>
  <c r="AN145" i="8" s="1"/>
  <c r="H144" i="8"/>
  <c r="AQ144" i="8" s="1"/>
  <c r="G144" i="8"/>
  <c r="AP144" i="8" s="1"/>
  <c r="F144" i="8"/>
  <c r="AO144" i="8" s="1"/>
  <c r="E144" i="8"/>
  <c r="AN144" i="8" s="1"/>
  <c r="H143" i="8"/>
  <c r="AQ143" i="8" s="1"/>
  <c r="G143" i="8"/>
  <c r="AP143" i="8" s="1"/>
  <c r="F143" i="8"/>
  <c r="AO143" i="8" s="1"/>
  <c r="E143" i="8"/>
  <c r="AN143" i="8" s="1"/>
  <c r="H142" i="8"/>
  <c r="AQ142" i="8" s="1"/>
  <c r="G142" i="8"/>
  <c r="AP142" i="8" s="1"/>
  <c r="F142" i="8"/>
  <c r="AO142" i="8" s="1"/>
  <c r="E142" i="8"/>
  <c r="AN142" i="8" s="1"/>
  <c r="H141" i="8"/>
  <c r="AQ141" i="8" s="1"/>
  <c r="G141" i="8"/>
  <c r="AP141" i="8" s="1"/>
  <c r="F141" i="8"/>
  <c r="AO141" i="8" s="1"/>
  <c r="E141" i="8"/>
  <c r="AN141" i="8" s="1"/>
  <c r="H140" i="8"/>
  <c r="AQ140" i="8" s="1"/>
  <c r="G140" i="8"/>
  <c r="AP140" i="8" s="1"/>
  <c r="F140" i="8"/>
  <c r="AO140" i="8" s="1"/>
  <c r="E140" i="8"/>
  <c r="AN140" i="8" s="1"/>
  <c r="H139" i="8"/>
  <c r="AQ139" i="8" s="1"/>
  <c r="G139" i="8"/>
  <c r="AP139" i="8" s="1"/>
  <c r="F139" i="8"/>
  <c r="AO139" i="8" s="1"/>
  <c r="E139" i="8"/>
  <c r="AN139" i="8" s="1"/>
  <c r="H138" i="8"/>
  <c r="AQ138" i="8" s="1"/>
  <c r="G138" i="8"/>
  <c r="AP138" i="8" s="1"/>
  <c r="F138" i="8"/>
  <c r="AO138" i="8" s="1"/>
  <c r="E138" i="8"/>
  <c r="AN138" i="8" s="1"/>
  <c r="H137" i="8"/>
  <c r="AQ137" i="8" s="1"/>
  <c r="G137" i="8"/>
  <c r="AP137" i="8" s="1"/>
  <c r="F137" i="8"/>
  <c r="AO137" i="8" s="1"/>
  <c r="E137" i="8"/>
  <c r="AN137" i="8" s="1"/>
  <c r="H136" i="8"/>
  <c r="AQ136" i="8" s="1"/>
  <c r="G136" i="8"/>
  <c r="AP136" i="8" s="1"/>
  <c r="F136" i="8"/>
  <c r="AO136" i="8" s="1"/>
  <c r="E136" i="8"/>
  <c r="AN136" i="8" s="1"/>
  <c r="H135" i="8"/>
  <c r="AQ135" i="8" s="1"/>
  <c r="G135" i="8"/>
  <c r="AP135" i="8" s="1"/>
  <c r="F135" i="8"/>
  <c r="AO135" i="8" s="1"/>
  <c r="E135" i="8"/>
  <c r="AN135" i="8" s="1"/>
  <c r="H134" i="8"/>
  <c r="AQ134" i="8" s="1"/>
  <c r="G134" i="8"/>
  <c r="AP134" i="8" s="1"/>
  <c r="F134" i="8"/>
  <c r="AO134" i="8" s="1"/>
  <c r="E134" i="8"/>
  <c r="AN134" i="8" s="1"/>
  <c r="H133" i="8"/>
  <c r="AQ133" i="8" s="1"/>
  <c r="G133" i="8"/>
  <c r="AP133" i="8" s="1"/>
  <c r="F133" i="8"/>
  <c r="AO133" i="8" s="1"/>
  <c r="E133" i="8"/>
  <c r="AN133" i="8" s="1"/>
  <c r="H132" i="8"/>
  <c r="AQ132" i="8" s="1"/>
  <c r="G132" i="8"/>
  <c r="AP132" i="8" s="1"/>
  <c r="F132" i="8"/>
  <c r="AO132" i="8" s="1"/>
  <c r="E132" i="8"/>
  <c r="AN132" i="8" s="1"/>
  <c r="H131" i="8"/>
  <c r="AQ131" i="8" s="1"/>
  <c r="G131" i="8"/>
  <c r="AP131" i="8" s="1"/>
  <c r="F131" i="8"/>
  <c r="AO131" i="8" s="1"/>
  <c r="E131" i="8"/>
  <c r="AN131" i="8" s="1"/>
  <c r="H130" i="8"/>
  <c r="AQ130" i="8" s="1"/>
  <c r="G130" i="8"/>
  <c r="AP130" i="8" s="1"/>
  <c r="F130" i="8"/>
  <c r="AO130" i="8" s="1"/>
  <c r="E130" i="8"/>
  <c r="AN130" i="8" s="1"/>
  <c r="H129" i="8"/>
  <c r="AQ129" i="8" s="1"/>
  <c r="G129" i="8"/>
  <c r="AP129" i="8" s="1"/>
  <c r="F129" i="8"/>
  <c r="AO129" i="8" s="1"/>
  <c r="E129" i="8"/>
  <c r="AN129" i="8" s="1"/>
  <c r="H128" i="8"/>
  <c r="AQ128" i="8" s="1"/>
  <c r="G128" i="8"/>
  <c r="AP128" i="8" s="1"/>
  <c r="F128" i="8"/>
  <c r="AO128" i="8" s="1"/>
  <c r="E128" i="8"/>
  <c r="AN128" i="8" s="1"/>
  <c r="H127" i="8"/>
  <c r="AQ127" i="8" s="1"/>
  <c r="G127" i="8"/>
  <c r="AP127" i="8" s="1"/>
  <c r="F127" i="8"/>
  <c r="AO127" i="8" s="1"/>
  <c r="E127" i="8"/>
  <c r="AN127" i="8" s="1"/>
  <c r="H126" i="8"/>
  <c r="AQ126" i="8" s="1"/>
  <c r="G126" i="8"/>
  <c r="AP126" i="8" s="1"/>
  <c r="F126" i="8"/>
  <c r="AO126" i="8" s="1"/>
  <c r="E126" i="8"/>
  <c r="AN126" i="8" s="1"/>
  <c r="H125" i="8"/>
  <c r="AQ125" i="8" s="1"/>
  <c r="G125" i="8"/>
  <c r="AP125" i="8" s="1"/>
  <c r="F125" i="8"/>
  <c r="AO125" i="8" s="1"/>
  <c r="E125" i="8"/>
  <c r="AN125" i="8" s="1"/>
  <c r="H124" i="8"/>
  <c r="AQ124" i="8" s="1"/>
  <c r="G124" i="8"/>
  <c r="AP124" i="8" s="1"/>
  <c r="F124" i="8"/>
  <c r="AO124" i="8" s="1"/>
  <c r="E124" i="8"/>
  <c r="AN124" i="8" s="1"/>
  <c r="H123" i="8"/>
  <c r="AQ123" i="8" s="1"/>
  <c r="G123" i="8"/>
  <c r="AP123" i="8" s="1"/>
  <c r="F123" i="8"/>
  <c r="AO123" i="8" s="1"/>
  <c r="E123" i="8"/>
  <c r="AN123" i="8" s="1"/>
  <c r="H122" i="8"/>
  <c r="AQ122" i="8" s="1"/>
  <c r="G122" i="8"/>
  <c r="AP122" i="8" s="1"/>
  <c r="F122" i="8"/>
  <c r="AO122" i="8" s="1"/>
  <c r="E122" i="8"/>
  <c r="AN122" i="8" s="1"/>
  <c r="H121" i="8"/>
  <c r="AQ121" i="8" s="1"/>
  <c r="G121" i="8"/>
  <c r="AP121" i="8" s="1"/>
  <c r="F121" i="8"/>
  <c r="AO121" i="8" s="1"/>
  <c r="E121" i="8"/>
  <c r="AN121" i="8" s="1"/>
  <c r="H120" i="8"/>
  <c r="AQ120" i="8" s="1"/>
  <c r="G120" i="8"/>
  <c r="AP120" i="8" s="1"/>
  <c r="F120" i="8"/>
  <c r="AO120" i="8" s="1"/>
  <c r="E120" i="8"/>
  <c r="AN120" i="8" s="1"/>
  <c r="H119" i="8"/>
  <c r="AQ119" i="8" s="1"/>
  <c r="G119" i="8"/>
  <c r="AP119" i="8" s="1"/>
  <c r="F119" i="8"/>
  <c r="AO119" i="8" s="1"/>
  <c r="E119" i="8"/>
  <c r="AN119" i="8" s="1"/>
  <c r="H118" i="8"/>
  <c r="AQ118" i="8" s="1"/>
  <c r="G118" i="8"/>
  <c r="AP118" i="8" s="1"/>
  <c r="F118" i="8"/>
  <c r="AO118" i="8" s="1"/>
  <c r="E118" i="8"/>
  <c r="AN118" i="8" s="1"/>
  <c r="H117" i="8"/>
  <c r="AQ117" i="8" s="1"/>
  <c r="G117" i="8"/>
  <c r="AP117" i="8" s="1"/>
  <c r="F117" i="8"/>
  <c r="AO117" i="8" s="1"/>
  <c r="E117" i="8"/>
  <c r="AN117" i="8" s="1"/>
  <c r="H107" i="8"/>
  <c r="H108" i="8" s="1"/>
  <c r="G27" i="10" s="1"/>
  <c r="G107" i="8"/>
  <c r="AP107" i="8" s="1"/>
  <c r="AP108" i="8" s="1"/>
  <c r="F107" i="8"/>
  <c r="E107" i="8"/>
  <c r="AN107" i="8" s="1"/>
  <c r="AN108" i="8" s="1"/>
  <c r="H116" i="8"/>
  <c r="AQ116" i="8" s="1"/>
  <c r="G116" i="8"/>
  <c r="AP116" i="8" s="1"/>
  <c r="F116" i="8"/>
  <c r="AO116" i="8" s="1"/>
  <c r="E116" i="8"/>
  <c r="AN116" i="8" s="1"/>
  <c r="H115" i="8"/>
  <c r="AQ115" i="8" s="1"/>
  <c r="G115" i="8"/>
  <c r="AP115" i="8" s="1"/>
  <c r="F115" i="8"/>
  <c r="AO115" i="8" s="1"/>
  <c r="E115" i="8"/>
  <c r="AN115" i="8" s="1"/>
  <c r="H114" i="8"/>
  <c r="AQ114" i="8" s="1"/>
  <c r="G114" i="8"/>
  <c r="AP114" i="8" s="1"/>
  <c r="F114" i="8"/>
  <c r="AO114" i="8" s="1"/>
  <c r="E114" i="8"/>
  <c r="AN114" i="8" s="1"/>
  <c r="H113" i="8"/>
  <c r="AQ113" i="8" s="1"/>
  <c r="G113" i="8"/>
  <c r="AP113" i="8" s="1"/>
  <c r="F113" i="8"/>
  <c r="AO113" i="8" s="1"/>
  <c r="E113" i="8"/>
  <c r="AN113" i="8" s="1"/>
  <c r="H112" i="8"/>
  <c r="AQ112" i="8" s="1"/>
  <c r="G112" i="8"/>
  <c r="AP112" i="8" s="1"/>
  <c r="F112" i="8"/>
  <c r="AO112" i="8" s="1"/>
  <c r="E112" i="8"/>
  <c r="AN112" i="8" s="1"/>
  <c r="H111" i="8"/>
  <c r="AQ111" i="8" s="1"/>
  <c r="G111" i="8"/>
  <c r="AP111" i="8" s="1"/>
  <c r="F111" i="8"/>
  <c r="AO111" i="8" s="1"/>
  <c r="E111" i="8"/>
  <c r="AN111" i="8" s="1"/>
  <c r="H110" i="8"/>
  <c r="AQ110" i="8" s="1"/>
  <c r="G110" i="8"/>
  <c r="AP110" i="8" s="1"/>
  <c r="F110" i="8"/>
  <c r="AO110" i="8" s="1"/>
  <c r="E110" i="8"/>
  <c r="AN110" i="8" s="1"/>
  <c r="H109" i="8"/>
  <c r="G109" i="8"/>
  <c r="F109" i="8"/>
  <c r="E109" i="8"/>
  <c r="H105" i="8"/>
  <c r="AQ105" i="8" s="1"/>
  <c r="G105" i="8"/>
  <c r="AP105" i="8" s="1"/>
  <c r="F105" i="8"/>
  <c r="AO105" i="8" s="1"/>
  <c r="E105" i="8"/>
  <c r="AN105" i="8" s="1"/>
  <c r="H104" i="8"/>
  <c r="AQ104" i="8" s="1"/>
  <c r="G104" i="8"/>
  <c r="AP104" i="8" s="1"/>
  <c r="F104" i="8"/>
  <c r="AO104" i="8" s="1"/>
  <c r="E104" i="8"/>
  <c r="AN104" i="8" s="1"/>
  <c r="H103" i="8"/>
  <c r="AQ103" i="8" s="1"/>
  <c r="G103" i="8"/>
  <c r="AP103" i="8" s="1"/>
  <c r="F103" i="8"/>
  <c r="AO103" i="8" s="1"/>
  <c r="E103" i="8"/>
  <c r="AN103" i="8" s="1"/>
  <c r="H102" i="8"/>
  <c r="AQ102" i="8" s="1"/>
  <c r="G102" i="8"/>
  <c r="AP102" i="8" s="1"/>
  <c r="F102" i="8"/>
  <c r="AO102" i="8" s="1"/>
  <c r="E102" i="8"/>
  <c r="AN102" i="8" s="1"/>
  <c r="H101" i="8"/>
  <c r="AQ101" i="8" s="1"/>
  <c r="G101" i="8"/>
  <c r="AP101" i="8" s="1"/>
  <c r="F101" i="8"/>
  <c r="AO101" i="8" s="1"/>
  <c r="E101" i="8"/>
  <c r="AN101" i="8" s="1"/>
  <c r="H100" i="8"/>
  <c r="AQ100" i="8" s="1"/>
  <c r="G100" i="8"/>
  <c r="AP100" i="8" s="1"/>
  <c r="F100" i="8"/>
  <c r="AO100" i="8" s="1"/>
  <c r="E100" i="8"/>
  <c r="AN100" i="8" s="1"/>
  <c r="H99" i="8"/>
  <c r="AQ99" i="8" s="1"/>
  <c r="G99" i="8"/>
  <c r="AP99" i="8" s="1"/>
  <c r="F99" i="8"/>
  <c r="AO99" i="8" s="1"/>
  <c r="E99" i="8"/>
  <c r="AN99" i="8" s="1"/>
  <c r="H98" i="8"/>
  <c r="AQ98" i="8" s="1"/>
  <c r="G98" i="8"/>
  <c r="AP98" i="8" s="1"/>
  <c r="F98" i="8"/>
  <c r="AO98" i="8" s="1"/>
  <c r="E98" i="8"/>
  <c r="AN98" i="8" s="1"/>
  <c r="H97" i="8"/>
  <c r="AQ97" i="8" s="1"/>
  <c r="G97" i="8"/>
  <c r="AP97" i="8" s="1"/>
  <c r="F97" i="8"/>
  <c r="AO97" i="8" s="1"/>
  <c r="E97" i="8"/>
  <c r="AN97" i="8" s="1"/>
  <c r="H96" i="8"/>
  <c r="AQ96" i="8" s="1"/>
  <c r="G96" i="8"/>
  <c r="AP96" i="8" s="1"/>
  <c r="F96" i="8"/>
  <c r="AO96" i="8" s="1"/>
  <c r="E96" i="8"/>
  <c r="AN96" i="8" s="1"/>
  <c r="H95" i="8"/>
  <c r="AQ95" i="8" s="1"/>
  <c r="G95" i="8"/>
  <c r="AP95" i="8" s="1"/>
  <c r="F95" i="8"/>
  <c r="AO95" i="8" s="1"/>
  <c r="E95" i="8"/>
  <c r="AN95" i="8" s="1"/>
  <c r="H94" i="8"/>
  <c r="AQ94" i="8" s="1"/>
  <c r="G94" i="8"/>
  <c r="AP94" i="8" s="1"/>
  <c r="F94" i="8"/>
  <c r="AO94" i="8" s="1"/>
  <c r="E94" i="8"/>
  <c r="AN94" i="8" s="1"/>
  <c r="H93" i="8"/>
  <c r="AQ93" i="8" s="1"/>
  <c r="G93" i="8"/>
  <c r="AP93" i="8" s="1"/>
  <c r="F93" i="8"/>
  <c r="AO93" i="8" s="1"/>
  <c r="E93" i="8"/>
  <c r="AN93" i="8" s="1"/>
  <c r="H92" i="8"/>
  <c r="AQ92" i="8" s="1"/>
  <c r="G92" i="8"/>
  <c r="AP92" i="8" s="1"/>
  <c r="F92" i="8"/>
  <c r="AO92" i="8" s="1"/>
  <c r="E92" i="8"/>
  <c r="AN92" i="8" s="1"/>
  <c r="H91" i="8"/>
  <c r="AQ91" i="8" s="1"/>
  <c r="G91" i="8"/>
  <c r="AP91" i="8" s="1"/>
  <c r="F91" i="8"/>
  <c r="AO91" i="8" s="1"/>
  <c r="E91" i="8"/>
  <c r="AN91" i="8" s="1"/>
  <c r="H90" i="8"/>
  <c r="AQ90" i="8" s="1"/>
  <c r="G90" i="8"/>
  <c r="AP90" i="8" s="1"/>
  <c r="F90" i="8"/>
  <c r="AO90" i="8" s="1"/>
  <c r="E90" i="8"/>
  <c r="AN90" i="8" s="1"/>
  <c r="H89" i="8"/>
  <c r="AQ89" i="8" s="1"/>
  <c r="G89" i="8"/>
  <c r="AP89" i="8" s="1"/>
  <c r="F89" i="8"/>
  <c r="AO89" i="8" s="1"/>
  <c r="E89" i="8"/>
  <c r="AN89" i="8" s="1"/>
  <c r="H88" i="8"/>
  <c r="AQ88" i="8" s="1"/>
  <c r="G88" i="8"/>
  <c r="AP88" i="8" s="1"/>
  <c r="F88" i="8"/>
  <c r="AO88" i="8" s="1"/>
  <c r="E88" i="8"/>
  <c r="AN88" i="8" s="1"/>
  <c r="H87" i="8"/>
  <c r="AQ87" i="8" s="1"/>
  <c r="G87" i="8"/>
  <c r="AP87" i="8" s="1"/>
  <c r="F87" i="8"/>
  <c r="AO87" i="8" s="1"/>
  <c r="E87" i="8"/>
  <c r="AN87" i="8" s="1"/>
  <c r="H86" i="8"/>
  <c r="AQ86" i="8" s="1"/>
  <c r="G86" i="8"/>
  <c r="AP86" i="8" s="1"/>
  <c r="F86" i="8"/>
  <c r="AO86" i="8" s="1"/>
  <c r="E86" i="8"/>
  <c r="AN86" i="8" s="1"/>
  <c r="H85" i="8"/>
  <c r="AQ85" i="8" s="1"/>
  <c r="G85" i="8"/>
  <c r="AP85" i="8" s="1"/>
  <c r="F85" i="8"/>
  <c r="AO85" i="8" s="1"/>
  <c r="E85" i="8"/>
  <c r="AN85" i="8" s="1"/>
  <c r="H84" i="8"/>
  <c r="AQ84" i="8" s="1"/>
  <c r="G84" i="8"/>
  <c r="AP84" i="8" s="1"/>
  <c r="F84" i="8"/>
  <c r="AO84" i="8" s="1"/>
  <c r="E84" i="8"/>
  <c r="AN84" i="8" s="1"/>
  <c r="H83" i="8"/>
  <c r="AQ83" i="8" s="1"/>
  <c r="G83" i="8"/>
  <c r="AP83" i="8" s="1"/>
  <c r="F83" i="8"/>
  <c r="AO83" i="8" s="1"/>
  <c r="E83" i="8"/>
  <c r="AN83" i="8" s="1"/>
  <c r="H82" i="8"/>
  <c r="AQ82" i="8" s="1"/>
  <c r="G82" i="8"/>
  <c r="AP82" i="8" s="1"/>
  <c r="F82" i="8"/>
  <c r="AO82" i="8" s="1"/>
  <c r="E82" i="8"/>
  <c r="AN82" i="8" s="1"/>
  <c r="H81" i="8"/>
  <c r="AQ81" i="8" s="1"/>
  <c r="G81" i="8"/>
  <c r="AP81" i="8" s="1"/>
  <c r="F81" i="8"/>
  <c r="AO81" i="8" s="1"/>
  <c r="E81" i="8"/>
  <c r="AN81" i="8" s="1"/>
  <c r="H80" i="8"/>
  <c r="AQ80" i="8" s="1"/>
  <c r="G80" i="8"/>
  <c r="AP80" i="8" s="1"/>
  <c r="F80" i="8"/>
  <c r="AO80" i="8" s="1"/>
  <c r="E80" i="8"/>
  <c r="AN80" i="8" s="1"/>
  <c r="H79" i="8"/>
  <c r="AQ79" i="8" s="1"/>
  <c r="G79" i="8"/>
  <c r="AP79" i="8" s="1"/>
  <c r="F79" i="8"/>
  <c r="AO79" i="8" s="1"/>
  <c r="E79" i="8"/>
  <c r="AN79" i="8" s="1"/>
  <c r="H78" i="8"/>
  <c r="AQ78" i="8" s="1"/>
  <c r="G78" i="8"/>
  <c r="AP78" i="8" s="1"/>
  <c r="F78" i="8"/>
  <c r="AO78" i="8" s="1"/>
  <c r="E78" i="8"/>
  <c r="AN78" i="8" s="1"/>
  <c r="H77" i="8"/>
  <c r="AQ77" i="8" s="1"/>
  <c r="G77" i="8"/>
  <c r="AP77" i="8" s="1"/>
  <c r="F77" i="8"/>
  <c r="AO77" i="8" s="1"/>
  <c r="E77" i="8"/>
  <c r="AN77" i="8" s="1"/>
  <c r="H76" i="8"/>
  <c r="G76" i="8"/>
  <c r="F76" i="8"/>
  <c r="E76" i="8"/>
  <c r="H74" i="8"/>
  <c r="H75" i="8" s="1"/>
  <c r="G25" i="10" s="1"/>
  <c r="G74" i="8"/>
  <c r="AP74" i="8" s="1"/>
  <c r="F74" i="8"/>
  <c r="F75" i="8" s="1"/>
  <c r="G13" i="10" s="1"/>
  <c r="E74" i="8"/>
  <c r="AN74" i="8" s="1"/>
  <c r="H72" i="8"/>
  <c r="AQ72" i="8" s="1"/>
  <c r="G72" i="8"/>
  <c r="AP72" i="8" s="1"/>
  <c r="F72" i="8"/>
  <c r="AO72" i="8" s="1"/>
  <c r="E72" i="8"/>
  <c r="AN72" i="8" s="1"/>
  <c r="H71" i="8"/>
  <c r="AQ71" i="8" s="1"/>
  <c r="G71" i="8"/>
  <c r="AP71" i="8" s="1"/>
  <c r="F71" i="8"/>
  <c r="AO71" i="8" s="1"/>
  <c r="E71" i="8"/>
  <c r="AN71" i="8" s="1"/>
  <c r="H70" i="8"/>
  <c r="AQ70" i="8" s="1"/>
  <c r="G70" i="8"/>
  <c r="AP70" i="8" s="1"/>
  <c r="F70" i="8"/>
  <c r="AO70" i="8" s="1"/>
  <c r="E70" i="8"/>
  <c r="AN70" i="8" s="1"/>
  <c r="H69" i="8"/>
  <c r="AQ69" i="8" s="1"/>
  <c r="G69" i="8"/>
  <c r="AP69" i="8" s="1"/>
  <c r="F69" i="8"/>
  <c r="AO69" i="8" s="1"/>
  <c r="E69" i="8"/>
  <c r="AN69" i="8" s="1"/>
  <c r="H68" i="8"/>
  <c r="AQ68" i="8" s="1"/>
  <c r="G68" i="8"/>
  <c r="AP68" i="8" s="1"/>
  <c r="F68" i="8"/>
  <c r="AO68" i="8" s="1"/>
  <c r="E68" i="8"/>
  <c r="AN68" i="8" s="1"/>
  <c r="H67" i="8"/>
  <c r="AQ67" i="8" s="1"/>
  <c r="G67" i="8"/>
  <c r="AP67" i="8" s="1"/>
  <c r="F67" i="8"/>
  <c r="AO67" i="8" s="1"/>
  <c r="E67" i="8"/>
  <c r="AN67" i="8" s="1"/>
  <c r="H66" i="8"/>
  <c r="AQ66" i="8" s="1"/>
  <c r="G66" i="8"/>
  <c r="AP66" i="8" s="1"/>
  <c r="F66" i="8"/>
  <c r="AO66" i="8" s="1"/>
  <c r="E66" i="8"/>
  <c r="AN66" i="8" s="1"/>
  <c r="H65" i="8"/>
  <c r="AQ65" i="8" s="1"/>
  <c r="G65" i="8"/>
  <c r="AP65" i="8" s="1"/>
  <c r="F65" i="8"/>
  <c r="AO65" i="8" s="1"/>
  <c r="E65" i="8"/>
  <c r="AN65" i="8" s="1"/>
  <c r="H64" i="8"/>
  <c r="AQ64" i="8" s="1"/>
  <c r="G64" i="8"/>
  <c r="AP64" i="8" s="1"/>
  <c r="F64" i="8"/>
  <c r="AO64" i="8" s="1"/>
  <c r="E64" i="8"/>
  <c r="AN64" i="8" s="1"/>
  <c r="H63" i="8"/>
  <c r="AQ63" i="8" s="1"/>
  <c r="G63" i="8"/>
  <c r="AP63" i="8" s="1"/>
  <c r="F63" i="8"/>
  <c r="AO63" i="8" s="1"/>
  <c r="E63" i="8"/>
  <c r="AN63" i="8" s="1"/>
  <c r="H62" i="8"/>
  <c r="AQ62" i="8" s="1"/>
  <c r="G62" i="8"/>
  <c r="AP62" i="8" s="1"/>
  <c r="F62" i="8"/>
  <c r="AO62" i="8" s="1"/>
  <c r="E62" i="8"/>
  <c r="AN62" i="8" s="1"/>
  <c r="H61" i="8"/>
  <c r="AQ61" i="8" s="1"/>
  <c r="G61" i="8"/>
  <c r="AP61" i="8" s="1"/>
  <c r="F61" i="8"/>
  <c r="AO61" i="8" s="1"/>
  <c r="E61" i="8"/>
  <c r="AN61" i="8" s="1"/>
  <c r="H60" i="8"/>
  <c r="AQ60" i="8" s="1"/>
  <c r="G60" i="8"/>
  <c r="AP60" i="8" s="1"/>
  <c r="F60" i="8"/>
  <c r="AO60" i="8" s="1"/>
  <c r="E60" i="8"/>
  <c r="AN60" i="8" s="1"/>
  <c r="H59" i="8"/>
  <c r="AQ59" i="8" s="1"/>
  <c r="G59" i="8"/>
  <c r="AP59" i="8" s="1"/>
  <c r="F59" i="8"/>
  <c r="AO59" i="8" s="1"/>
  <c r="E59" i="8"/>
  <c r="AN59" i="8" s="1"/>
  <c r="H57" i="8"/>
  <c r="AQ57" i="8" s="1"/>
  <c r="G57" i="8"/>
  <c r="AP57" i="8" s="1"/>
  <c r="H56" i="8"/>
  <c r="AQ56" i="8" s="1"/>
  <c r="G56" i="8"/>
  <c r="AP56" i="8" s="1"/>
  <c r="H55" i="8"/>
  <c r="AQ55" i="8" s="1"/>
  <c r="G55" i="8"/>
  <c r="AP55" i="8" s="1"/>
  <c r="H54" i="8"/>
  <c r="AQ54" i="8" s="1"/>
  <c r="G54" i="8"/>
  <c r="AP54" i="8" s="1"/>
  <c r="H53" i="8"/>
  <c r="AQ53" i="8" s="1"/>
  <c r="G53" i="8"/>
  <c r="AP53" i="8" s="1"/>
  <c r="H52" i="8"/>
  <c r="AQ52" i="8" s="1"/>
  <c r="G52" i="8"/>
  <c r="AP52" i="8" s="1"/>
  <c r="H51" i="8"/>
  <c r="AQ51" i="8" s="1"/>
  <c r="G51" i="8"/>
  <c r="AP51" i="8" s="1"/>
  <c r="H50" i="8"/>
  <c r="AQ50" i="8" s="1"/>
  <c r="G50" i="8"/>
  <c r="AP50" i="8" s="1"/>
  <c r="H49" i="8"/>
  <c r="AQ49" i="8" s="1"/>
  <c r="G49" i="8"/>
  <c r="AP49" i="8" s="1"/>
  <c r="H48" i="8"/>
  <c r="AQ48" i="8" s="1"/>
  <c r="G48" i="8"/>
  <c r="AP48" i="8" s="1"/>
  <c r="H47" i="8"/>
  <c r="AQ47" i="8" s="1"/>
  <c r="G47" i="8"/>
  <c r="AP47" i="8" s="1"/>
  <c r="H46" i="8"/>
  <c r="AQ46" i="8" s="1"/>
  <c r="G46" i="8"/>
  <c r="AP46" i="8" s="1"/>
  <c r="H45" i="8"/>
  <c r="AQ45" i="8" s="1"/>
  <c r="G45" i="8"/>
  <c r="AP45" i="8" s="1"/>
  <c r="H44" i="8"/>
  <c r="AQ44" i="8" s="1"/>
  <c r="G44" i="8"/>
  <c r="AP44" i="8" s="1"/>
  <c r="H43" i="8"/>
  <c r="AQ43" i="8" s="1"/>
  <c r="G43" i="8"/>
  <c r="AP43" i="8" s="1"/>
  <c r="H42" i="8"/>
  <c r="AQ42" i="8" s="1"/>
  <c r="G42" i="8"/>
  <c r="AP42" i="8" s="1"/>
  <c r="H41" i="8"/>
  <c r="AQ41" i="8" s="1"/>
  <c r="G41" i="8"/>
  <c r="AP41" i="8" s="1"/>
  <c r="H40" i="8"/>
  <c r="AQ40" i="8" s="1"/>
  <c r="G40" i="8"/>
  <c r="AP40" i="8" s="1"/>
  <c r="H39" i="8"/>
  <c r="AQ39" i="8" s="1"/>
  <c r="G39" i="8"/>
  <c r="AP39" i="8" s="1"/>
  <c r="H38" i="8"/>
  <c r="AQ38" i="8" s="1"/>
  <c r="G38" i="8"/>
  <c r="AP38" i="8" s="1"/>
  <c r="H37" i="8"/>
  <c r="AQ37" i="8" s="1"/>
  <c r="G37" i="8"/>
  <c r="AP37" i="8" s="1"/>
  <c r="F57" i="8"/>
  <c r="AO57" i="8" s="1"/>
  <c r="E57" i="8"/>
  <c r="AN57" i="8" s="1"/>
  <c r="F56" i="8"/>
  <c r="AO56" i="8" s="1"/>
  <c r="E56" i="8"/>
  <c r="AN56" i="8" s="1"/>
  <c r="F55" i="8"/>
  <c r="AO55" i="8" s="1"/>
  <c r="E55" i="8"/>
  <c r="AN55" i="8" s="1"/>
  <c r="F54" i="8"/>
  <c r="AO54" i="8" s="1"/>
  <c r="E54" i="8"/>
  <c r="AN54" i="8" s="1"/>
  <c r="F53" i="8"/>
  <c r="AO53" i="8" s="1"/>
  <c r="E53" i="8"/>
  <c r="AN53" i="8" s="1"/>
  <c r="F52" i="8"/>
  <c r="AO52" i="8" s="1"/>
  <c r="E52" i="8"/>
  <c r="AN52" i="8" s="1"/>
  <c r="F51" i="8"/>
  <c r="AO51" i="8" s="1"/>
  <c r="E51" i="8"/>
  <c r="AN51" i="8" s="1"/>
  <c r="F50" i="8"/>
  <c r="AO50" i="8" s="1"/>
  <c r="E50" i="8"/>
  <c r="AN50" i="8" s="1"/>
  <c r="F49" i="8"/>
  <c r="AO49" i="8" s="1"/>
  <c r="E49" i="8"/>
  <c r="AN49" i="8" s="1"/>
  <c r="F48" i="8"/>
  <c r="AO48" i="8" s="1"/>
  <c r="E48" i="8"/>
  <c r="AN48" i="8" s="1"/>
  <c r="F47" i="8"/>
  <c r="AO47" i="8" s="1"/>
  <c r="E47" i="8"/>
  <c r="AN47" i="8" s="1"/>
  <c r="F46" i="8"/>
  <c r="AO46" i="8" s="1"/>
  <c r="E46" i="8"/>
  <c r="AN46" i="8" s="1"/>
  <c r="F45" i="8"/>
  <c r="AO45" i="8" s="1"/>
  <c r="E45" i="8"/>
  <c r="AN45" i="8" s="1"/>
  <c r="F44" i="8"/>
  <c r="AO44" i="8" s="1"/>
  <c r="E44" i="8"/>
  <c r="AN44" i="8" s="1"/>
  <c r="F43" i="8"/>
  <c r="AO43" i="8" s="1"/>
  <c r="E43" i="8"/>
  <c r="AN43" i="8" s="1"/>
  <c r="F42" i="8"/>
  <c r="AO42" i="8" s="1"/>
  <c r="E42" i="8"/>
  <c r="AN42" i="8" s="1"/>
  <c r="F41" i="8"/>
  <c r="AO41" i="8" s="1"/>
  <c r="E41" i="8"/>
  <c r="AN41" i="8" s="1"/>
  <c r="F40" i="8"/>
  <c r="AO40" i="8" s="1"/>
  <c r="E40" i="8"/>
  <c r="AN40" i="8" s="1"/>
  <c r="F39" i="8"/>
  <c r="AO39" i="8" s="1"/>
  <c r="E39" i="8"/>
  <c r="AN39" i="8" s="1"/>
  <c r="F38" i="8"/>
  <c r="AO38" i="8" s="1"/>
  <c r="E38" i="8"/>
  <c r="AN38" i="8" s="1"/>
  <c r="F37" i="8"/>
  <c r="AO37" i="8" s="1"/>
  <c r="E37" i="8"/>
  <c r="AN37" i="8" s="1"/>
  <c r="AN76" i="8" l="1"/>
  <c r="AN106" i="8" s="1"/>
  <c r="E106" i="8"/>
  <c r="AN109" i="8"/>
  <c r="AN166" i="8" s="1"/>
  <c r="E166" i="8"/>
  <c r="AV76" i="8"/>
  <c r="AV106" i="8" s="1"/>
  <c r="M106" i="8"/>
  <c r="AV109" i="8"/>
  <c r="AV166" i="8" s="1"/>
  <c r="M166" i="8"/>
  <c r="BD76" i="8"/>
  <c r="BD106" i="8" s="1"/>
  <c r="U106" i="8"/>
  <c r="BD109" i="8"/>
  <c r="BD166" i="8" s="1"/>
  <c r="U166" i="8"/>
  <c r="BL76" i="8"/>
  <c r="BL106" i="8" s="1"/>
  <c r="AC106" i="8"/>
  <c r="BL109" i="8"/>
  <c r="BL166" i="8" s="1"/>
  <c r="AC166" i="8"/>
  <c r="AO76" i="8"/>
  <c r="AO106" i="8" s="1"/>
  <c r="F106" i="8"/>
  <c r="AO109" i="8"/>
  <c r="AO166" i="8" s="1"/>
  <c r="F166" i="8"/>
  <c r="AW76" i="8"/>
  <c r="AW106" i="8" s="1"/>
  <c r="N106" i="8"/>
  <c r="AW109" i="8"/>
  <c r="AW166" i="8" s="1"/>
  <c r="N166" i="8"/>
  <c r="BE76" i="8"/>
  <c r="BE106" i="8" s="1"/>
  <c r="V106" i="8"/>
  <c r="BE109" i="8"/>
  <c r="BE166" i="8" s="1"/>
  <c r="V166" i="8"/>
  <c r="BM76" i="8"/>
  <c r="BM106" i="8" s="1"/>
  <c r="AD106" i="8"/>
  <c r="BM109" i="8"/>
  <c r="BM166" i="8" s="1"/>
  <c r="AD166" i="8"/>
  <c r="AP76" i="8"/>
  <c r="AP106" i="8" s="1"/>
  <c r="G106" i="8"/>
  <c r="AP109" i="8"/>
  <c r="AP166" i="8" s="1"/>
  <c r="G166" i="8"/>
  <c r="AX76" i="8"/>
  <c r="AX106" i="8" s="1"/>
  <c r="O106" i="8"/>
  <c r="AX109" i="8"/>
  <c r="AX166" i="8" s="1"/>
  <c r="O166" i="8"/>
  <c r="BF76" i="8"/>
  <c r="BF106" i="8" s="1"/>
  <c r="W106" i="8"/>
  <c r="BF109" i="8"/>
  <c r="BF166" i="8" s="1"/>
  <c r="W166" i="8"/>
  <c r="BN76" i="8"/>
  <c r="BN106" i="8" s="1"/>
  <c r="AE106" i="8"/>
  <c r="BN109" i="8"/>
  <c r="BN166" i="8" s="1"/>
  <c r="AE166" i="8"/>
  <c r="AQ76" i="8"/>
  <c r="AQ106" i="8" s="1"/>
  <c r="H106" i="8"/>
  <c r="AQ109" i="8"/>
  <c r="AQ166" i="8" s="1"/>
  <c r="H166" i="8"/>
  <c r="AY76" i="8"/>
  <c r="AY106" i="8" s="1"/>
  <c r="P106" i="8"/>
  <c r="AY109" i="8"/>
  <c r="AY166" i="8" s="1"/>
  <c r="P166" i="8"/>
  <c r="BG76" i="8"/>
  <c r="BG106" i="8" s="1"/>
  <c r="X106" i="8"/>
  <c r="BG109" i="8"/>
  <c r="BG166" i="8" s="1"/>
  <c r="X166" i="8"/>
  <c r="BO76" i="8"/>
  <c r="BO106" i="8" s="1"/>
  <c r="AF106" i="8"/>
  <c r="BO109" i="8"/>
  <c r="BO166" i="8" s="1"/>
  <c r="AF166" i="8"/>
  <c r="BL58" i="8"/>
  <c r="U108" i="8"/>
  <c r="I9" i="10" s="1"/>
  <c r="BD107" i="8"/>
  <c r="BD108" i="8" s="1"/>
  <c r="F108" i="8"/>
  <c r="G15" i="10" s="1"/>
  <c r="AO107" i="8"/>
  <c r="AO108" i="8" s="1"/>
  <c r="N108" i="8"/>
  <c r="H15" i="10" s="1"/>
  <c r="AW107" i="8"/>
  <c r="AW108" i="8" s="1"/>
  <c r="V108" i="8"/>
  <c r="I15" i="10" s="1"/>
  <c r="BE107" i="8"/>
  <c r="BE108" i="8" s="1"/>
  <c r="BM58" i="8"/>
  <c r="AD108" i="8"/>
  <c r="J15" i="10" s="1"/>
  <c r="BM107" i="8"/>
  <c r="BM108" i="8" s="1"/>
  <c r="AO74" i="8"/>
  <c r="O108" i="8"/>
  <c r="H21" i="10" s="1"/>
  <c r="AX107" i="8"/>
  <c r="AX108" i="8" s="1"/>
  <c r="W108" i="8"/>
  <c r="I21" i="10" s="1"/>
  <c r="BF107" i="8"/>
  <c r="BF108" i="8" s="1"/>
  <c r="BO58" i="8"/>
  <c r="AE108" i="8"/>
  <c r="J21" i="10" s="1"/>
  <c r="BN107" i="8"/>
  <c r="BN108" i="8" s="1"/>
  <c r="AQ74" i="8"/>
  <c r="X108" i="8"/>
  <c r="I27" i="10" s="1"/>
  <c r="BG107" i="8"/>
  <c r="BG108" i="8" s="1"/>
  <c r="BN58" i="8"/>
  <c r="AQ107" i="8"/>
  <c r="AQ108" i="8" s="1"/>
  <c r="N75" i="8"/>
  <c r="H13" i="10" s="1"/>
  <c r="AW74" i="8"/>
  <c r="V75" i="8"/>
  <c r="I13" i="10" s="1"/>
  <c r="BE74" i="8"/>
  <c r="AD75" i="8"/>
  <c r="J13" i="10" s="1"/>
  <c r="BM74" i="8"/>
  <c r="O75" i="8"/>
  <c r="H19" i="10" s="1"/>
  <c r="AX74" i="8"/>
  <c r="W75" i="8"/>
  <c r="I19" i="10" s="1"/>
  <c r="BF74" i="8"/>
  <c r="AE75" i="8"/>
  <c r="J19" i="10" s="1"/>
  <c r="BN74" i="8"/>
  <c r="F175" i="8"/>
  <c r="AD73" i="8"/>
  <c r="J12" i="10" s="1"/>
  <c r="J16" i="10"/>
  <c r="I22" i="10"/>
  <c r="AE73" i="8"/>
  <c r="J18" i="10" s="1"/>
  <c r="J22" i="10"/>
  <c r="O175" i="8"/>
  <c r="W73" i="8"/>
  <c r="I18" i="10" s="1"/>
  <c r="V175" i="8"/>
  <c r="H16" i="10"/>
  <c r="V73" i="8"/>
  <c r="I12" i="10" s="1"/>
  <c r="W58" i="8"/>
  <c r="I17" i="10" s="1"/>
  <c r="W175" i="8"/>
  <c r="AD58" i="8"/>
  <c r="J11" i="10" s="1"/>
  <c r="AD175" i="8"/>
  <c r="F73" i="8"/>
  <c r="G12" i="10" s="1"/>
  <c r="G16" i="10"/>
  <c r="AE175" i="8"/>
  <c r="AE58" i="8"/>
  <c r="J17" i="10" s="1"/>
  <c r="H73" i="8"/>
  <c r="G24" i="10" s="1"/>
  <c r="I16" i="10"/>
  <c r="N58" i="8"/>
  <c r="H11" i="10" s="1"/>
  <c r="N175" i="8"/>
  <c r="V58" i="8"/>
  <c r="I11" i="10" s="1"/>
  <c r="G58" i="8"/>
  <c r="G17" i="10" s="1"/>
  <c r="G28" i="10"/>
  <c r="H175" i="8"/>
  <c r="N73" i="8"/>
  <c r="H12" i="10" s="1"/>
  <c r="H58" i="8"/>
  <c r="G23" i="10" s="1"/>
  <c r="O58" i="8"/>
  <c r="H17" i="10" s="1"/>
  <c r="F58" i="8"/>
  <c r="G11" i="10" s="1"/>
  <c r="O73" i="8"/>
  <c r="H18" i="10" s="1"/>
  <c r="H22" i="10"/>
  <c r="AA123" i="9"/>
  <c r="AA124" i="9"/>
  <c r="AA125" i="9"/>
  <c r="AA126" i="9"/>
  <c r="AA127" i="9"/>
  <c r="AA128" i="9"/>
  <c r="AA129" i="9"/>
  <c r="AA130" i="9"/>
  <c r="AA131" i="9"/>
  <c r="AA132" i="9"/>
  <c r="AA133" i="9"/>
  <c r="W34" i="10"/>
  <c r="V34" i="10"/>
  <c r="U34" i="10"/>
  <c r="W33" i="10"/>
  <c r="V33" i="10"/>
  <c r="U33" i="10"/>
  <c r="W32" i="10"/>
  <c r="V32" i="10"/>
  <c r="U32" i="10"/>
  <c r="W31" i="10"/>
  <c r="V31" i="10"/>
  <c r="U31" i="10"/>
  <c r="W30" i="10"/>
  <c r="V30" i="10"/>
  <c r="U30" i="10"/>
  <c r="W29" i="10"/>
  <c r="V29" i="10"/>
  <c r="U29" i="10"/>
  <c r="W28" i="10"/>
  <c r="V28" i="10"/>
  <c r="U28" i="10"/>
  <c r="W27" i="10"/>
  <c r="V27" i="10"/>
  <c r="U27" i="10"/>
  <c r="W26" i="10"/>
  <c r="V26" i="10"/>
  <c r="U26" i="10"/>
  <c r="W25" i="10"/>
  <c r="V25" i="10"/>
  <c r="U25" i="10"/>
  <c r="W24" i="10"/>
  <c r="V24" i="10"/>
  <c r="U24" i="10"/>
  <c r="W23" i="10"/>
  <c r="V23" i="10"/>
  <c r="U23" i="10"/>
  <c r="W22" i="10"/>
  <c r="V22" i="10"/>
  <c r="U22" i="10"/>
  <c r="W21" i="10"/>
  <c r="V21" i="10"/>
  <c r="U21" i="10"/>
  <c r="W20" i="10"/>
  <c r="V20" i="10"/>
  <c r="U20" i="10"/>
  <c r="W19" i="10"/>
  <c r="V19" i="10"/>
  <c r="U19" i="10"/>
  <c r="W18" i="10"/>
  <c r="V18" i="10"/>
  <c r="U18" i="10"/>
  <c r="W17" i="10"/>
  <c r="V17" i="10"/>
  <c r="U17" i="10"/>
  <c r="W16" i="10"/>
  <c r="V16" i="10"/>
  <c r="U16" i="10"/>
  <c r="W15" i="10"/>
  <c r="V15" i="10"/>
  <c r="U15" i="10"/>
  <c r="W14" i="10"/>
  <c r="V14" i="10"/>
  <c r="U14" i="10"/>
  <c r="W13" i="10"/>
  <c r="V13" i="10"/>
  <c r="U13" i="10"/>
  <c r="W12" i="10"/>
  <c r="V12" i="10"/>
  <c r="U12" i="10"/>
  <c r="W11" i="10"/>
  <c r="V11" i="10"/>
  <c r="U11" i="10"/>
  <c r="W10" i="10"/>
  <c r="V10" i="10"/>
  <c r="U10" i="10"/>
  <c r="W9" i="10"/>
  <c r="V9" i="10"/>
  <c r="U9" i="10"/>
  <c r="W8" i="10"/>
  <c r="V8" i="10"/>
  <c r="U8" i="10"/>
  <c r="W7" i="10"/>
  <c r="V7" i="10"/>
  <c r="U7" i="10"/>
  <c r="W6" i="10"/>
  <c r="V6" i="10"/>
  <c r="U6" i="10"/>
  <c r="W5" i="10"/>
  <c r="V5" i="10"/>
  <c r="U5" i="10"/>
  <c r="AA175" i="9"/>
  <c r="U175" i="9"/>
  <c r="P175" i="9"/>
  <c r="M175" i="9"/>
  <c r="K175" i="9"/>
  <c r="H175" i="9"/>
  <c r="F175" i="9"/>
  <c r="AA174" i="9"/>
  <c r="U174" i="9"/>
  <c r="P174" i="9"/>
  <c r="M174" i="9"/>
  <c r="K174" i="9"/>
  <c r="H174" i="9"/>
  <c r="F174" i="9"/>
  <c r="AA173" i="9"/>
  <c r="U173" i="9"/>
  <c r="P173" i="9"/>
  <c r="M173" i="9"/>
  <c r="K173" i="9"/>
  <c r="H173" i="9"/>
  <c r="F173" i="9"/>
  <c r="AA172" i="9"/>
  <c r="U172" i="9"/>
  <c r="P172" i="9"/>
  <c r="M172" i="9"/>
  <c r="K172" i="9"/>
  <c r="H172" i="9"/>
  <c r="F172" i="9"/>
  <c r="AA171" i="9"/>
  <c r="Y170" i="9"/>
  <c r="U171" i="9"/>
  <c r="P171" i="9"/>
  <c r="M171" i="9"/>
  <c r="K171" i="9"/>
  <c r="H171" i="9"/>
  <c r="F171" i="9"/>
  <c r="BC170" i="9"/>
  <c r="BB170" i="9"/>
  <c r="BA170" i="9"/>
  <c r="AZ170" i="9"/>
  <c r="AY170" i="9"/>
  <c r="AX170" i="9"/>
  <c r="AW170" i="9"/>
  <c r="AV170" i="9"/>
  <c r="AU170" i="9"/>
  <c r="AT170" i="9"/>
  <c r="AS170" i="9"/>
  <c r="AR170" i="9"/>
  <c r="AQ170" i="9"/>
  <c r="AP170" i="9"/>
  <c r="AO170" i="9"/>
  <c r="AN170" i="9"/>
  <c r="AM170" i="9"/>
  <c r="AL170" i="9"/>
  <c r="AK170" i="9"/>
  <c r="AJ170" i="9"/>
  <c r="AI170" i="9"/>
  <c r="AH170" i="9"/>
  <c r="AG170" i="9"/>
  <c r="AF170" i="9"/>
  <c r="AE170" i="9"/>
  <c r="AD170" i="9"/>
  <c r="AC170" i="9"/>
  <c r="AB170" i="9"/>
  <c r="Z170" i="9"/>
  <c r="X170" i="9"/>
  <c r="W170" i="9"/>
  <c r="V170" i="9"/>
  <c r="T170" i="9"/>
  <c r="S170" i="9"/>
  <c r="R170" i="9"/>
  <c r="Q170" i="9"/>
  <c r="O170" i="9"/>
  <c r="N170" i="9"/>
  <c r="P170" i="9" s="1"/>
  <c r="L170" i="9"/>
  <c r="K170" i="9"/>
  <c r="M170" i="9" s="1"/>
  <c r="J170" i="9"/>
  <c r="I170" i="9"/>
  <c r="G170" i="9"/>
  <c r="F170" i="9"/>
  <c r="H170" i="9" s="1"/>
  <c r="E170" i="9"/>
  <c r="D170" i="9"/>
  <c r="AA168" i="9"/>
  <c r="U168" i="9"/>
  <c r="P168" i="9"/>
  <c r="K168" i="9"/>
  <c r="M168" i="9" s="1"/>
  <c r="H168" i="9"/>
  <c r="F168" i="9"/>
  <c r="AA167" i="9"/>
  <c r="U167" i="9"/>
  <c r="P167" i="9"/>
  <c r="M167" i="9"/>
  <c r="K167" i="9"/>
  <c r="H167" i="9"/>
  <c r="F167" i="9"/>
  <c r="AA166" i="9"/>
  <c r="U166" i="9"/>
  <c r="P166" i="9"/>
  <c r="M166" i="9"/>
  <c r="K166" i="9"/>
  <c r="F166" i="9"/>
  <c r="H166" i="9" s="1"/>
  <c r="BC165" i="9"/>
  <c r="BB165" i="9"/>
  <c r="BA165" i="9"/>
  <c r="AZ165" i="9"/>
  <c r="AY165" i="9"/>
  <c r="AX165" i="9"/>
  <c r="AW165" i="9"/>
  <c r="AV165" i="9"/>
  <c r="AU165" i="9"/>
  <c r="AT165" i="9"/>
  <c r="AS165" i="9"/>
  <c r="AR165" i="9"/>
  <c r="AQ165" i="9"/>
  <c r="AP165" i="9"/>
  <c r="AO165" i="9"/>
  <c r="AM165" i="9"/>
  <c r="AL165" i="9"/>
  <c r="AK165" i="9"/>
  <c r="AJ165" i="9"/>
  <c r="AI165" i="9"/>
  <c r="AH165" i="9"/>
  <c r="AF165" i="9"/>
  <c r="AE165" i="9"/>
  <c r="AD165" i="9"/>
  <c r="AC165" i="9"/>
  <c r="AB165" i="9"/>
  <c r="Z165" i="9"/>
  <c r="Y165" i="9"/>
  <c r="X165" i="9"/>
  <c r="W165" i="9"/>
  <c r="V165" i="9"/>
  <c r="AA165" i="9" s="1"/>
  <c r="T165" i="9"/>
  <c r="S165" i="9"/>
  <c r="R165" i="9"/>
  <c r="U165" i="9" s="1"/>
  <c r="P165" i="9"/>
  <c r="O165" i="9"/>
  <c r="N165" i="9"/>
  <c r="L165" i="9"/>
  <c r="J165" i="9"/>
  <c r="I165" i="9"/>
  <c r="K165" i="9" s="1"/>
  <c r="M165" i="9" s="1"/>
  <c r="G165" i="9"/>
  <c r="E165" i="9"/>
  <c r="D165" i="9"/>
  <c r="F165" i="9" s="1"/>
  <c r="H165" i="9" s="1"/>
  <c r="AA163" i="9"/>
  <c r="U163" i="9"/>
  <c r="P163" i="9"/>
  <c r="M163" i="9"/>
  <c r="K163" i="9"/>
  <c r="F163" i="9"/>
  <c r="H163" i="9" s="1"/>
  <c r="AA162" i="9"/>
  <c r="U162" i="9"/>
  <c r="P162" i="9"/>
  <c r="M162" i="9"/>
  <c r="K162" i="9"/>
  <c r="F162" i="9"/>
  <c r="H162" i="9" s="1"/>
  <c r="AA161" i="9"/>
  <c r="U161" i="9"/>
  <c r="P161" i="9"/>
  <c r="M161" i="9"/>
  <c r="K161" i="9"/>
  <c r="F161" i="9"/>
  <c r="H161" i="9" s="1"/>
  <c r="AA160" i="9"/>
  <c r="U160" i="9"/>
  <c r="P160" i="9"/>
  <c r="M160" i="9"/>
  <c r="K160" i="9"/>
  <c r="F160" i="9"/>
  <c r="H160" i="9" s="1"/>
  <c r="AA159" i="9"/>
  <c r="U159" i="9"/>
  <c r="P159" i="9"/>
  <c r="M159" i="9"/>
  <c r="K159" i="9"/>
  <c r="F159" i="9"/>
  <c r="H159" i="9" s="1"/>
  <c r="AA158" i="9"/>
  <c r="U158" i="9"/>
  <c r="P158" i="9"/>
  <c r="M158" i="9"/>
  <c r="K158" i="9"/>
  <c r="F158" i="9"/>
  <c r="H158" i="9" s="1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Z157" i="9"/>
  <c r="Y157" i="9"/>
  <c r="X157" i="9"/>
  <c r="W157" i="9"/>
  <c r="V157" i="9"/>
  <c r="AA157" i="9" s="1"/>
  <c r="T157" i="9"/>
  <c r="S157" i="9"/>
  <c r="R157" i="9"/>
  <c r="U157" i="9" s="1"/>
  <c r="Q157" i="9"/>
  <c r="P157" i="9"/>
  <c r="O157" i="9"/>
  <c r="N157" i="9"/>
  <c r="L157" i="9"/>
  <c r="J157" i="9"/>
  <c r="K157" i="9" s="1"/>
  <c r="M157" i="9" s="1"/>
  <c r="I157" i="9"/>
  <c r="G157" i="9"/>
  <c r="E157" i="9"/>
  <c r="D157" i="9"/>
  <c r="F157" i="9" s="1"/>
  <c r="H157" i="9" s="1"/>
  <c r="AA155" i="9"/>
  <c r="U155" i="9"/>
  <c r="O154" i="9"/>
  <c r="P154" i="9" s="1"/>
  <c r="M155" i="9"/>
  <c r="K155" i="9"/>
  <c r="F155" i="9"/>
  <c r="H155" i="9" s="1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Z154" i="9"/>
  <c r="Y154" i="9"/>
  <c r="X154" i="9"/>
  <c r="AA154" i="9" s="1"/>
  <c r="W154" i="9"/>
  <c r="V154" i="9"/>
  <c r="T154" i="9"/>
  <c r="S154" i="9"/>
  <c r="R154" i="9"/>
  <c r="Q154" i="9"/>
  <c r="U154" i="9" s="1"/>
  <c r="N154" i="9"/>
  <c r="L154" i="9"/>
  <c r="K154" i="9"/>
  <c r="M154" i="9" s="1"/>
  <c r="J154" i="9"/>
  <c r="I154" i="9"/>
  <c r="G154" i="9"/>
  <c r="E154" i="9"/>
  <c r="D154" i="9"/>
  <c r="F154" i="9" s="1"/>
  <c r="H154" i="9" s="1"/>
  <c r="AA152" i="9"/>
  <c r="U152" i="9"/>
  <c r="P152" i="9"/>
  <c r="M152" i="9"/>
  <c r="K152" i="9"/>
  <c r="H152" i="9"/>
  <c r="F152" i="9"/>
  <c r="AA151" i="9"/>
  <c r="Y150" i="9"/>
  <c r="U151" i="9"/>
  <c r="P151" i="9"/>
  <c r="M151" i="9"/>
  <c r="K151" i="9"/>
  <c r="H151" i="9"/>
  <c r="F151" i="9"/>
  <c r="BC150" i="9"/>
  <c r="BB150" i="9"/>
  <c r="BA150" i="9"/>
  <c r="AZ150" i="9"/>
  <c r="AY150" i="9"/>
  <c r="AX150" i="9"/>
  <c r="AW150" i="9"/>
  <c r="AV150" i="9"/>
  <c r="AU150" i="9"/>
  <c r="AT150" i="9"/>
  <c r="AS150" i="9"/>
  <c r="AR150" i="9"/>
  <c r="AQ150" i="9"/>
  <c r="AP150" i="9"/>
  <c r="AO150" i="9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Z150" i="9"/>
  <c r="X150" i="9"/>
  <c r="W150" i="9"/>
  <c r="V150" i="9"/>
  <c r="T150" i="9"/>
  <c r="S150" i="9"/>
  <c r="U150" i="9" s="1"/>
  <c r="R150" i="9"/>
  <c r="Q150" i="9"/>
  <c r="O150" i="9"/>
  <c r="N150" i="9"/>
  <c r="L150" i="9"/>
  <c r="K150" i="9"/>
  <c r="M150" i="9" s="1"/>
  <c r="J150" i="9"/>
  <c r="I150" i="9"/>
  <c r="G150" i="9"/>
  <c r="F150" i="9"/>
  <c r="E150" i="9"/>
  <c r="D150" i="9"/>
  <c r="AA148" i="9"/>
  <c r="U148" i="9"/>
  <c r="P148" i="9"/>
  <c r="M148" i="9"/>
  <c r="K148" i="9"/>
  <c r="H148" i="9"/>
  <c r="F148" i="9"/>
  <c r="AA147" i="9"/>
  <c r="U147" i="9"/>
  <c r="P147" i="9"/>
  <c r="M147" i="9"/>
  <c r="K147" i="9"/>
  <c r="H147" i="9"/>
  <c r="F147" i="9"/>
  <c r="BC146" i="9"/>
  <c r="BB146" i="9"/>
  <c r="BA146" i="9"/>
  <c r="AZ146" i="9"/>
  <c r="AY146" i="9"/>
  <c r="AX146" i="9"/>
  <c r="AW146" i="9"/>
  <c r="AV146" i="9"/>
  <c r="AU146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T146" i="9"/>
  <c r="S146" i="9"/>
  <c r="R146" i="9"/>
  <c r="Q146" i="9"/>
  <c r="O146" i="9"/>
  <c r="N146" i="9"/>
  <c r="L146" i="9"/>
  <c r="K146" i="9"/>
  <c r="M146" i="9" s="1"/>
  <c r="J146" i="9"/>
  <c r="I146" i="9"/>
  <c r="G146" i="9"/>
  <c r="E146" i="9"/>
  <c r="D146" i="9"/>
  <c r="F146" i="9" s="1"/>
  <c r="H146" i="9" s="1"/>
  <c r="AA144" i="9"/>
  <c r="U144" i="9"/>
  <c r="P144" i="9"/>
  <c r="K144" i="9"/>
  <c r="M144" i="9" s="1"/>
  <c r="H144" i="9"/>
  <c r="F144" i="9"/>
  <c r="AA143" i="9"/>
  <c r="U143" i="9"/>
  <c r="P143" i="9"/>
  <c r="K143" i="9"/>
  <c r="M143" i="9" s="1"/>
  <c r="H143" i="9"/>
  <c r="F143" i="9"/>
  <c r="AA142" i="9"/>
  <c r="U142" i="9"/>
  <c r="P142" i="9"/>
  <c r="M142" i="9"/>
  <c r="K142" i="9"/>
  <c r="H142" i="9"/>
  <c r="F142" i="9"/>
  <c r="AA141" i="9"/>
  <c r="U141" i="9"/>
  <c r="P141" i="9"/>
  <c r="M141" i="9"/>
  <c r="K141" i="9"/>
  <c r="H141" i="9"/>
  <c r="F141" i="9"/>
  <c r="AA140" i="9"/>
  <c r="U140" i="9"/>
  <c r="P140" i="9"/>
  <c r="M140" i="9"/>
  <c r="K140" i="9"/>
  <c r="F140" i="9"/>
  <c r="H140" i="9" s="1"/>
  <c r="AA139" i="9"/>
  <c r="U139" i="9"/>
  <c r="P139" i="9"/>
  <c r="M139" i="9"/>
  <c r="K139" i="9"/>
  <c r="H139" i="9"/>
  <c r="F139" i="9"/>
  <c r="AA138" i="9"/>
  <c r="U138" i="9"/>
  <c r="P138" i="9"/>
  <c r="K138" i="9"/>
  <c r="M138" i="9" s="1"/>
  <c r="H138" i="9"/>
  <c r="F138" i="9"/>
  <c r="AA137" i="9"/>
  <c r="U137" i="9"/>
  <c r="O136" i="9"/>
  <c r="K137" i="9"/>
  <c r="M137" i="9" s="1"/>
  <c r="H137" i="9"/>
  <c r="F137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Z136" i="9"/>
  <c r="Y136" i="9"/>
  <c r="X136" i="9"/>
  <c r="W136" i="9"/>
  <c r="V136" i="9"/>
  <c r="AA136" i="9" s="1"/>
  <c r="T136" i="9"/>
  <c r="S136" i="9"/>
  <c r="R136" i="9"/>
  <c r="Q136" i="9"/>
  <c r="N136" i="9"/>
  <c r="L136" i="9"/>
  <c r="J136" i="9"/>
  <c r="K136" i="9" s="1"/>
  <c r="M136" i="9" s="1"/>
  <c r="I136" i="9"/>
  <c r="G136" i="9"/>
  <c r="F136" i="9"/>
  <c r="H136" i="9" s="1"/>
  <c r="E136" i="9"/>
  <c r="D136" i="9"/>
  <c r="AA134" i="9"/>
  <c r="U134" i="9"/>
  <c r="P134" i="9"/>
  <c r="M134" i="9"/>
  <c r="K134" i="9"/>
  <c r="H134" i="9"/>
  <c r="F134" i="9"/>
  <c r="U133" i="9"/>
  <c r="P133" i="9"/>
  <c r="M133" i="9"/>
  <c r="K133" i="9"/>
  <c r="F133" i="9"/>
  <c r="H133" i="9" s="1"/>
  <c r="U132" i="9"/>
  <c r="P132" i="9"/>
  <c r="M132" i="9"/>
  <c r="K132" i="9"/>
  <c r="F132" i="9"/>
  <c r="H132" i="9" s="1"/>
  <c r="U131" i="9"/>
  <c r="P131" i="9"/>
  <c r="M131" i="9"/>
  <c r="K131" i="9"/>
  <c r="F131" i="9"/>
  <c r="H131" i="9" s="1"/>
  <c r="U130" i="9"/>
  <c r="P130" i="9"/>
  <c r="M130" i="9"/>
  <c r="K130" i="9"/>
  <c r="H130" i="9"/>
  <c r="F130" i="9"/>
  <c r="U129" i="9"/>
  <c r="P129" i="9"/>
  <c r="M129" i="9"/>
  <c r="K129" i="9"/>
  <c r="H129" i="9"/>
  <c r="F129" i="9"/>
  <c r="U128" i="9"/>
  <c r="P128" i="9"/>
  <c r="M128" i="9"/>
  <c r="K128" i="9"/>
  <c r="H128" i="9"/>
  <c r="F128" i="9"/>
  <c r="U127" i="9"/>
  <c r="P127" i="9"/>
  <c r="M127" i="9"/>
  <c r="K127" i="9"/>
  <c r="H127" i="9"/>
  <c r="F127" i="9"/>
  <c r="U126" i="9"/>
  <c r="P126" i="9"/>
  <c r="M126" i="9"/>
  <c r="K126" i="9"/>
  <c r="H126" i="9"/>
  <c r="F126" i="9"/>
  <c r="U125" i="9"/>
  <c r="P125" i="9"/>
  <c r="M125" i="9"/>
  <c r="K125" i="9"/>
  <c r="H125" i="9"/>
  <c r="F125" i="9"/>
  <c r="U124" i="9"/>
  <c r="P124" i="9"/>
  <c r="M124" i="9"/>
  <c r="K124" i="9"/>
  <c r="H124" i="9"/>
  <c r="F124" i="9"/>
  <c r="U123" i="9"/>
  <c r="P123" i="9"/>
  <c r="M123" i="9"/>
  <c r="K123" i="9"/>
  <c r="H123" i="9"/>
  <c r="F123" i="9"/>
  <c r="AA122" i="9"/>
  <c r="U122" i="9"/>
  <c r="P122" i="9"/>
  <c r="M122" i="9"/>
  <c r="K122" i="9"/>
  <c r="H122" i="9"/>
  <c r="F122" i="9"/>
  <c r="AA121" i="9"/>
  <c r="U121" i="9"/>
  <c r="P121" i="9"/>
  <c r="M121" i="9"/>
  <c r="K121" i="9"/>
  <c r="H121" i="9"/>
  <c r="F121" i="9"/>
  <c r="AA120" i="9"/>
  <c r="U120" i="9"/>
  <c r="P120" i="9"/>
  <c r="M120" i="9"/>
  <c r="K120" i="9"/>
  <c r="H120" i="9"/>
  <c r="F120" i="9"/>
  <c r="AA119" i="9"/>
  <c r="U119" i="9"/>
  <c r="P119" i="9"/>
  <c r="M119" i="9"/>
  <c r="K119" i="9"/>
  <c r="F119" i="9"/>
  <c r="H119" i="9" s="1"/>
  <c r="AA118" i="9"/>
  <c r="U118" i="9"/>
  <c r="P118" i="9"/>
  <c r="M118" i="9"/>
  <c r="K118" i="9"/>
  <c r="F118" i="9"/>
  <c r="H118" i="9" s="1"/>
  <c r="AA117" i="9"/>
  <c r="U117" i="9"/>
  <c r="P117" i="9"/>
  <c r="M117" i="9"/>
  <c r="K117" i="9"/>
  <c r="H117" i="9"/>
  <c r="F117" i="9"/>
  <c r="AA116" i="9"/>
  <c r="U116" i="9"/>
  <c r="P116" i="9"/>
  <c r="M116" i="9"/>
  <c r="K116" i="9"/>
  <c r="H116" i="9"/>
  <c r="F116" i="9"/>
  <c r="AA115" i="9"/>
  <c r="U115" i="9"/>
  <c r="P115" i="9"/>
  <c r="K115" i="9"/>
  <c r="M115" i="9" s="1"/>
  <c r="H115" i="9"/>
  <c r="F115" i="9"/>
  <c r="AA114" i="9"/>
  <c r="U114" i="9"/>
  <c r="P114" i="9"/>
  <c r="K114" i="9"/>
  <c r="M114" i="9" s="1"/>
  <c r="H114" i="9"/>
  <c r="F114" i="9"/>
  <c r="AA113" i="9"/>
  <c r="U113" i="9"/>
  <c r="P113" i="9"/>
  <c r="K113" i="9"/>
  <c r="M113" i="9" s="1"/>
  <c r="H113" i="9"/>
  <c r="F113" i="9"/>
  <c r="AA112" i="9"/>
  <c r="U112" i="9"/>
  <c r="P112" i="9"/>
  <c r="K112" i="9"/>
  <c r="M112" i="9" s="1"/>
  <c r="H112" i="9"/>
  <c r="F112" i="9"/>
  <c r="AA111" i="9"/>
  <c r="U111" i="9"/>
  <c r="O110" i="9"/>
  <c r="K111" i="9"/>
  <c r="M111" i="9" s="1"/>
  <c r="H111" i="9"/>
  <c r="F111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Y110" i="9"/>
  <c r="X110" i="9"/>
  <c r="W110" i="9"/>
  <c r="V110" i="9"/>
  <c r="T110" i="9"/>
  <c r="S110" i="9"/>
  <c r="R110" i="9"/>
  <c r="Q110" i="9"/>
  <c r="U110" i="9" s="1"/>
  <c r="N110" i="9"/>
  <c r="L110" i="9"/>
  <c r="J110" i="9"/>
  <c r="I110" i="9"/>
  <c r="G110" i="9"/>
  <c r="F110" i="9"/>
  <c r="H110" i="9" s="1"/>
  <c r="E110" i="9"/>
  <c r="D110" i="9"/>
  <c r="AA108" i="9"/>
  <c r="U108" i="9"/>
  <c r="P108" i="9"/>
  <c r="M108" i="9"/>
  <c r="K108" i="9"/>
  <c r="H108" i="9"/>
  <c r="F108" i="9"/>
  <c r="AA107" i="9"/>
  <c r="U107" i="9"/>
  <c r="P107" i="9"/>
  <c r="M107" i="9"/>
  <c r="K107" i="9"/>
  <c r="F107" i="9"/>
  <c r="H107" i="9" s="1"/>
  <c r="AA106" i="9"/>
  <c r="U106" i="9"/>
  <c r="P106" i="9"/>
  <c r="M106" i="9"/>
  <c r="K106" i="9"/>
  <c r="H106" i="9"/>
  <c r="F106" i="9"/>
  <c r="AA105" i="9"/>
  <c r="U105" i="9"/>
  <c r="P105" i="9"/>
  <c r="M105" i="9"/>
  <c r="K105" i="9"/>
  <c r="H105" i="9"/>
  <c r="F105" i="9"/>
  <c r="AA104" i="9"/>
  <c r="U104" i="9"/>
  <c r="P104" i="9"/>
  <c r="K104" i="9"/>
  <c r="M104" i="9" s="1"/>
  <c r="H104" i="9"/>
  <c r="F104" i="9"/>
  <c r="AA103" i="9"/>
  <c r="U103" i="9"/>
  <c r="P103" i="9"/>
  <c r="K103" i="9"/>
  <c r="M103" i="9" s="1"/>
  <c r="H103" i="9"/>
  <c r="F103" i="9"/>
  <c r="AA102" i="9"/>
  <c r="U102" i="9"/>
  <c r="P102" i="9"/>
  <c r="M102" i="9"/>
  <c r="K102" i="9"/>
  <c r="F102" i="9"/>
  <c r="H102" i="9" s="1"/>
  <c r="AA101" i="9"/>
  <c r="U101" i="9"/>
  <c r="P101" i="9"/>
  <c r="M101" i="9"/>
  <c r="K101" i="9"/>
  <c r="F101" i="9"/>
  <c r="H101" i="9" s="1"/>
  <c r="AA100" i="9"/>
  <c r="U100" i="9"/>
  <c r="P100" i="9"/>
  <c r="M100" i="9"/>
  <c r="K100" i="9"/>
  <c r="F100" i="9"/>
  <c r="H100" i="9" s="1"/>
  <c r="AA99" i="9"/>
  <c r="U99" i="9"/>
  <c r="P99" i="9"/>
  <c r="O98" i="9"/>
  <c r="M99" i="9"/>
  <c r="K99" i="9"/>
  <c r="F99" i="9"/>
  <c r="H99" i="9" s="1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Z98" i="9"/>
  <c r="Y98" i="9"/>
  <c r="X98" i="9"/>
  <c r="AA98" i="9" s="1"/>
  <c r="W98" i="9"/>
  <c r="V98" i="9"/>
  <c r="T98" i="9"/>
  <c r="S98" i="9"/>
  <c r="R98" i="9"/>
  <c r="Q98" i="9"/>
  <c r="U98" i="9" s="1"/>
  <c r="P98" i="9"/>
  <c r="N98" i="9"/>
  <c r="L98" i="9"/>
  <c r="K98" i="9"/>
  <c r="M98" i="9" s="1"/>
  <c r="J98" i="9"/>
  <c r="I98" i="9"/>
  <c r="G98" i="9"/>
  <c r="E98" i="9"/>
  <c r="D98" i="9"/>
  <c r="AA96" i="9"/>
  <c r="U96" i="9"/>
  <c r="P96" i="9"/>
  <c r="M96" i="9"/>
  <c r="K96" i="9"/>
  <c r="F96" i="9"/>
  <c r="H96" i="9" s="1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Z95" i="9"/>
  <c r="Y95" i="9"/>
  <c r="X95" i="9"/>
  <c r="AA95" i="9" s="1"/>
  <c r="W95" i="9"/>
  <c r="V95" i="9"/>
  <c r="T95" i="9"/>
  <c r="S95" i="9"/>
  <c r="U95" i="9" s="1"/>
  <c r="R95" i="9"/>
  <c r="Q95" i="9"/>
  <c r="P95" i="9"/>
  <c r="O95" i="9"/>
  <c r="N95" i="9"/>
  <c r="L95" i="9"/>
  <c r="K95" i="9"/>
  <c r="M95" i="9" s="1"/>
  <c r="J95" i="9"/>
  <c r="I95" i="9"/>
  <c r="G95" i="9"/>
  <c r="E95" i="9"/>
  <c r="D95" i="9"/>
  <c r="F95" i="9" s="1"/>
  <c r="H95" i="9" s="1"/>
  <c r="AA93" i="9"/>
  <c r="U93" i="9"/>
  <c r="P93" i="9"/>
  <c r="K93" i="9"/>
  <c r="M93" i="9" s="1"/>
  <c r="H93" i="9"/>
  <c r="F93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Z92" i="9"/>
  <c r="Y92" i="9"/>
  <c r="X92" i="9"/>
  <c r="W92" i="9"/>
  <c r="V92" i="9"/>
  <c r="T92" i="9"/>
  <c r="S92" i="9"/>
  <c r="R92" i="9"/>
  <c r="Q92" i="9"/>
  <c r="O92" i="9"/>
  <c r="P92" i="9" s="1"/>
  <c r="N92" i="9"/>
  <c r="L92" i="9"/>
  <c r="J92" i="9"/>
  <c r="K92" i="9" s="1"/>
  <c r="M92" i="9" s="1"/>
  <c r="I92" i="9"/>
  <c r="G92" i="9"/>
  <c r="E92" i="9"/>
  <c r="D92" i="9"/>
  <c r="F92" i="9" s="1"/>
  <c r="H92" i="9" s="1"/>
  <c r="AA90" i="9"/>
  <c r="U90" i="9"/>
  <c r="P90" i="9"/>
  <c r="M90" i="9"/>
  <c r="K90" i="9"/>
  <c r="H90" i="9"/>
  <c r="F90" i="9"/>
  <c r="AA89" i="9"/>
  <c r="U89" i="9"/>
  <c r="O87" i="9"/>
  <c r="M89" i="9"/>
  <c r="K89" i="9"/>
  <c r="H89" i="9"/>
  <c r="F89" i="9"/>
  <c r="AA88" i="9"/>
  <c r="U88" i="9"/>
  <c r="P88" i="9"/>
  <c r="M88" i="9"/>
  <c r="K88" i="9"/>
  <c r="H88" i="9"/>
  <c r="F88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T87" i="9"/>
  <c r="S87" i="9"/>
  <c r="R87" i="9"/>
  <c r="U87" i="9" s="1"/>
  <c r="Q87" i="9"/>
  <c r="N87" i="9"/>
  <c r="L87" i="9"/>
  <c r="J87" i="9"/>
  <c r="I87" i="9"/>
  <c r="K87" i="9" s="1"/>
  <c r="M87" i="9" s="1"/>
  <c r="G87" i="9"/>
  <c r="E87" i="9"/>
  <c r="D87" i="9"/>
  <c r="F87" i="9" s="1"/>
  <c r="H87" i="9" s="1"/>
  <c r="AA85" i="9"/>
  <c r="U85" i="9"/>
  <c r="P85" i="9"/>
  <c r="M85" i="9"/>
  <c r="K85" i="9"/>
  <c r="F85" i="9"/>
  <c r="H85" i="9" s="1"/>
  <c r="BC84" i="9"/>
  <c r="BB84" i="9"/>
  <c r="BA84" i="9"/>
  <c r="AZ84" i="9"/>
  <c r="AY84" i="9"/>
  <c r="AX84" i="9"/>
  <c r="AW84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Z84" i="9"/>
  <c r="Y84" i="9"/>
  <c r="X84" i="9"/>
  <c r="W84" i="9"/>
  <c r="V84" i="9"/>
  <c r="AA84" i="9" s="1"/>
  <c r="T84" i="9"/>
  <c r="S84" i="9"/>
  <c r="R84" i="9"/>
  <c r="Q84" i="9"/>
  <c r="U84" i="9" s="1"/>
  <c r="O84" i="9"/>
  <c r="N84" i="9"/>
  <c r="P84" i="9" s="1"/>
  <c r="L84" i="9"/>
  <c r="J84" i="9"/>
  <c r="I84" i="9"/>
  <c r="K84" i="9" s="1"/>
  <c r="M84" i="9" s="1"/>
  <c r="G84" i="9"/>
  <c r="E84" i="9"/>
  <c r="D84" i="9"/>
  <c r="F84" i="9" s="1"/>
  <c r="H84" i="9" s="1"/>
  <c r="AA82" i="9"/>
  <c r="U82" i="9"/>
  <c r="P82" i="9"/>
  <c r="M82" i="9"/>
  <c r="K82" i="9"/>
  <c r="F82" i="9"/>
  <c r="H82" i="9" s="1"/>
  <c r="AA81" i="9"/>
  <c r="U81" i="9"/>
  <c r="P81" i="9"/>
  <c r="M81" i="9"/>
  <c r="K81" i="9"/>
  <c r="F81" i="9"/>
  <c r="H81" i="9" s="1"/>
  <c r="AA80" i="9"/>
  <c r="U80" i="9"/>
  <c r="P80" i="9"/>
  <c r="K80" i="9"/>
  <c r="M80" i="9" s="1"/>
  <c r="H80" i="9"/>
  <c r="F80" i="9"/>
  <c r="AA79" i="9"/>
  <c r="U79" i="9"/>
  <c r="P79" i="9"/>
  <c r="M79" i="9"/>
  <c r="K79" i="9"/>
  <c r="F79" i="9"/>
  <c r="H79" i="9" s="1"/>
  <c r="AA78" i="9"/>
  <c r="U78" i="9"/>
  <c r="P78" i="9"/>
  <c r="M78" i="9"/>
  <c r="K78" i="9"/>
  <c r="H78" i="9"/>
  <c r="F78" i="9"/>
  <c r="AA77" i="9"/>
  <c r="U77" i="9"/>
  <c r="P77" i="9"/>
  <c r="M77" i="9"/>
  <c r="K77" i="9"/>
  <c r="H77" i="9"/>
  <c r="F77" i="9"/>
  <c r="AA76" i="9"/>
  <c r="U76" i="9"/>
  <c r="P76" i="9"/>
  <c r="K76" i="9"/>
  <c r="M76" i="9" s="1"/>
  <c r="H76" i="9"/>
  <c r="F76" i="9"/>
  <c r="AA75" i="9"/>
  <c r="U75" i="9"/>
  <c r="P75" i="9"/>
  <c r="K75" i="9"/>
  <c r="M75" i="9" s="1"/>
  <c r="H75" i="9"/>
  <c r="F75" i="9"/>
  <c r="AA74" i="9"/>
  <c r="U74" i="9"/>
  <c r="P74" i="9"/>
  <c r="M74" i="9"/>
  <c r="K74" i="9"/>
  <c r="F74" i="9"/>
  <c r="H74" i="9" s="1"/>
  <c r="AA73" i="9"/>
  <c r="U73" i="9"/>
  <c r="P73" i="9"/>
  <c r="M73" i="9"/>
  <c r="K73" i="9"/>
  <c r="F73" i="9"/>
  <c r="H73" i="9" s="1"/>
  <c r="AA72" i="9"/>
  <c r="U72" i="9"/>
  <c r="P72" i="9"/>
  <c r="M72" i="9"/>
  <c r="K72" i="9"/>
  <c r="F72" i="9"/>
  <c r="H72" i="9" s="1"/>
  <c r="AA71" i="9"/>
  <c r="U71" i="9"/>
  <c r="P71" i="9"/>
  <c r="M71" i="9"/>
  <c r="K71" i="9"/>
  <c r="F71" i="9"/>
  <c r="H71" i="9" s="1"/>
  <c r="AA70" i="9"/>
  <c r="U70" i="9"/>
  <c r="P70" i="9"/>
  <c r="M70" i="9"/>
  <c r="K70" i="9"/>
  <c r="F70" i="9"/>
  <c r="H70" i="9" s="1"/>
  <c r="AA69" i="9"/>
  <c r="U69" i="9"/>
  <c r="P69" i="9"/>
  <c r="M69" i="9"/>
  <c r="K69" i="9"/>
  <c r="F69" i="9"/>
  <c r="H69" i="9" s="1"/>
  <c r="AA68" i="9"/>
  <c r="U68" i="9"/>
  <c r="P68" i="9"/>
  <c r="M68" i="9"/>
  <c r="K68" i="9"/>
  <c r="F68" i="9"/>
  <c r="H68" i="9" s="1"/>
  <c r="AA67" i="9"/>
  <c r="U67" i="9"/>
  <c r="P67" i="9"/>
  <c r="M67" i="9"/>
  <c r="K67" i="9"/>
  <c r="F67" i="9"/>
  <c r="H67" i="9" s="1"/>
  <c r="AA66" i="9"/>
  <c r="U66" i="9"/>
  <c r="P66" i="9"/>
  <c r="M66" i="9"/>
  <c r="K66" i="9"/>
  <c r="F66" i="9"/>
  <c r="H66" i="9" s="1"/>
  <c r="AA65" i="9"/>
  <c r="U65" i="9"/>
  <c r="P65" i="9"/>
  <c r="M65" i="9"/>
  <c r="K65" i="9"/>
  <c r="F65" i="9"/>
  <c r="H65" i="9" s="1"/>
  <c r="AA64" i="9"/>
  <c r="U64" i="9"/>
  <c r="P64" i="9"/>
  <c r="K64" i="9"/>
  <c r="M64" i="9" s="1"/>
  <c r="H64" i="9"/>
  <c r="F64" i="9"/>
  <c r="AA63" i="9"/>
  <c r="U63" i="9"/>
  <c r="P63" i="9"/>
  <c r="K63" i="9"/>
  <c r="M63" i="9" s="1"/>
  <c r="H63" i="9"/>
  <c r="F63" i="9"/>
  <c r="AA62" i="9"/>
  <c r="U62" i="9"/>
  <c r="P62" i="9"/>
  <c r="K62" i="9"/>
  <c r="M62" i="9" s="1"/>
  <c r="H62" i="9"/>
  <c r="F62" i="9"/>
  <c r="AA61" i="9"/>
  <c r="U61" i="9"/>
  <c r="P61" i="9"/>
  <c r="K61" i="9"/>
  <c r="M61" i="9" s="1"/>
  <c r="H61" i="9"/>
  <c r="F61" i="9"/>
  <c r="AA60" i="9"/>
  <c r="U60" i="9"/>
  <c r="P60" i="9"/>
  <c r="K60" i="9"/>
  <c r="M60" i="9" s="1"/>
  <c r="H60" i="9"/>
  <c r="F60" i="9"/>
  <c r="AA59" i="9"/>
  <c r="U59" i="9"/>
  <c r="P59" i="9"/>
  <c r="K59" i="9"/>
  <c r="M59" i="9" s="1"/>
  <c r="H59" i="9"/>
  <c r="F59" i="9"/>
  <c r="AA58" i="9"/>
  <c r="U58" i="9"/>
  <c r="P58" i="9"/>
  <c r="K58" i="9"/>
  <c r="M58" i="9" s="1"/>
  <c r="H58" i="9"/>
  <c r="F58" i="9"/>
  <c r="AA57" i="9"/>
  <c r="U57" i="9"/>
  <c r="P57" i="9"/>
  <c r="M57" i="9"/>
  <c r="K57" i="9"/>
  <c r="F57" i="9"/>
  <c r="H57" i="9" s="1"/>
  <c r="AA56" i="9"/>
  <c r="U56" i="9"/>
  <c r="P56" i="9"/>
  <c r="M56" i="9"/>
  <c r="K56" i="9"/>
  <c r="F56" i="9"/>
  <c r="H56" i="9" s="1"/>
  <c r="AA55" i="9"/>
  <c r="U55" i="9"/>
  <c r="P55" i="9"/>
  <c r="M55" i="9"/>
  <c r="K55" i="9"/>
  <c r="F55" i="9"/>
  <c r="H55" i="9" s="1"/>
  <c r="AA54" i="9"/>
  <c r="U54" i="9"/>
  <c r="P54" i="9"/>
  <c r="M54" i="9"/>
  <c r="K54" i="9"/>
  <c r="F54" i="9"/>
  <c r="H54" i="9" s="1"/>
  <c r="AA53" i="9"/>
  <c r="U53" i="9"/>
  <c r="P53" i="9"/>
  <c r="M53" i="9"/>
  <c r="K53" i="9"/>
  <c r="F53" i="9"/>
  <c r="H53" i="9" s="1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T52" i="9"/>
  <c r="S52" i="9"/>
  <c r="R52" i="9"/>
  <c r="Q52" i="9"/>
  <c r="U52" i="9" s="1"/>
  <c r="O52" i="9"/>
  <c r="N52" i="9"/>
  <c r="P52" i="9" s="1"/>
  <c r="L52" i="9"/>
  <c r="K52" i="9"/>
  <c r="M52" i="9" s="1"/>
  <c r="J52" i="9"/>
  <c r="I52" i="9"/>
  <c r="G52" i="9"/>
  <c r="F52" i="9"/>
  <c r="H52" i="9" s="1"/>
  <c r="E52" i="9"/>
  <c r="D52" i="9"/>
  <c r="AA50" i="9"/>
  <c r="U50" i="9"/>
  <c r="P50" i="9"/>
  <c r="K50" i="9"/>
  <c r="M50" i="9" s="1"/>
  <c r="H50" i="9"/>
  <c r="F50" i="9"/>
  <c r="AA49" i="9"/>
  <c r="U49" i="9"/>
  <c r="P49" i="9"/>
  <c r="K49" i="9"/>
  <c r="M49" i="9" s="1"/>
  <c r="H49" i="9"/>
  <c r="F49" i="9"/>
  <c r="AA48" i="9"/>
  <c r="U48" i="9"/>
  <c r="P48" i="9"/>
  <c r="K48" i="9"/>
  <c r="M48" i="9" s="1"/>
  <c r="H48" i="9"/>
  <c r="F48" i="9"/>
  <c r="AA47" i="9"/>
  <c r="U47" i="9"/>
  <c r="P47" i="9"/>
  <c r="K47" i="9"/>
  <c r="M47" i="9" s="1"/>
  <c r="H47" i="9"/>
  <c r="F47" i="9"/>
  <c r="AA46" i="9"/>
  <c r="U46" i="9"/>
  <c r="P46" i="9"/>
  <c r="K46" i="9"/>
  <c r="M46" i="9" s="1"/>
  <c r="H46" i="9"/>
  <c r="F46" i="9"/>
  <c r="AA45" i="9"/>
  <c r="U45" i="9"/>
  <c r="P45" i="9"/>
  <c r="K45" i="9"/>
  <c r="M45" i="9" s="1"/>
  <c r="H45" i="9"/>
  <c r="F45" i="9"/>
  <c r="AA44" i="9"/>
  <c r="U44" i="9"/>
  <c r="P44" i="9"/>
  <c r="K44" i="9"/>
  <c r="M44" i="9" s="1"/>
  <c r="H44" i="9"/>
  <c r="F44" i="9"/>
  <c r="AA43" i="9"/>
  <c r="U43" i="9"/>
  <c r="P43" i="9"/>
  <c r="K43" i="9"/>
  <c r="M43" i="9" s="1"/>
  <c r="H43" i="9"/>
  <c r="F43" i="9"/>
  <c r="AA42" i="9"/>
  <c r="U42" i="9"/>
  <c r="P42" i="9"/>
  <c r="M42" i="9"/>
  <c r="K42" i="9"/>
  <c r="F42" i="9"/>
  <c r="H42" i="9" s="1"/>
  <c r="AA41" i="9"/>
  <c r="U41" i="9"/>
  <c r="P41" i="9"/>
  <c r="M41" i="9"/>
  <c r="K41" i="9"/>
  <c r="F41" i="9"/>
  <c r="H41" i="9" s="1"/>
  <c r="AA40" i="9"/>
  <c r="U40" i="9"/>
  <c r="P40" i="9"/>
  <c r="M40" i="9"/>
  <c r="K40" i="9"/>
  <c r="F40" i="9"/>
  <c r="H40" i="9" s="1"/>
  <c r="AA39" i="9"/>
  <c r="U39" i="9"/>
  <c r="P39" i="9"/>
  <c r="M39" i="9"/>
  <c r="K39" i="9"/>
  <c r="F39" i="9"/>
  <c r="H39" i="9" s="1"/>
  <c r="AA38" i="9"/>
  <c r="U38" i="9"/>
  <c r="P38" i="9"/>
  <c r="K38" i="9"/>
  <c r="M38" i="9" s="1"/>
  <c r="H38" i="9"/>
  <c r="F38" i="9"/>
  <c r="AA37" i="9"/>
  <c r="U37" i="9"/>
  <c r="P37" i="9"/>
  <c r="K37" i="9"/>
  <c r="M37" i="9" s="1"/>
  <c r="H37" i="9"/>
  <c r="F37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Z36" i="9"/>
  <c r="Y36" i="9"/>
  <c r="X36" i="9"/>
  <c r="W36" i="9"/>
  <c r="V36" i="9"/>
  <c r="AA36" i="9" s="1"/>
  <c r="T36" i="9"/>
  <c r="S36" i="9"/>
  <c r="R36" i="9"/>
  <c r="Q36" i="9"/>
  <c r="U36" i="9" s="1"/>
  <c r="O36" i="9"/>
  <c r="N36" i="9"/>
  <c r="P36" i="9" s="1"/>
  <c r="L36" i="9"/>
  <c r="J36" i="9"/>
  <c r="K36" i="9" s="1"/>
  <c r="M36" i="9" s="1"/>
  <c r="I36" i="9"/>
  <c r="G36" i="9"/>
  <c r="F36" i="9"/>
  <c r="H36" i="9" s="1"/>
  <c r="E36" i="9"/>
  <c r="D36" i="9"/>
  <c r="AA34" i="9"/>
  <c r="U34" i="9"/>
  <c r="P34" i="9"/>
  <c r="K34" i="9"/>
  <c r="M34" i="9" s="1"/>
  <c r="H34" i="9"/>
  <c r="F34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Z33" i="9"/>
  <c r="Y33" i="9"/>
  <c r="X33" i="9"/>
  <c r="AA33" i="9" s="1"/>
  <c r="W33" i="9"/>
  <c r="V33" i="9"/>
  <c r="U33" i="9"/>
  <c r="T33" i="9"/>
  <c r="S33" i="9"/>
  <c r="R33" i="9"/>
  <c r="Q33" i="9"/>
  <c r="P33" i="9"/>
  <c r="O33" i="9"/>
  <c r="N33" i="9"/>
  <c r="L33" i="9"/>
  <c r="J33" i="9"/>
  <c r="K33" i="9" s="1"/>
  <c r="M33" i="9" s="1"/>
  <c r="I33" i="9"/>
  <c r="G33" i="9"/>
  <c r="E33" i="9"/>
  <c r="D33" i="9"/>
  <c r="F33" i="9" s="1"/>
  <c r="H33" i="9" s="1"/>
  <c r="AA31" i="9"/>
  <c r="U31" i="9"/>
  <c r="P31" i="9"/>
  <c r="M31" i="9"/>
  <c r="K31" i="9"/>
  <c r="F31" i="9"/>
  <c r="H31" i="9" s="1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Z30" i="9"/>
  <c r="Y30" i="9"/>
  <c r="X30" i="9"/>
  <c r="W30" i="9"/>
  <c r="AA30" i="9" s="1"/>
  <c r="V30" i="9"/>
  <c r="T30" i="9"/>
  <c r="S30" i="9"/>
  <c r="U30" i="9" s="1"/>
  <c r="R30" i="9"/>
  <c r="Q30" i="9"/>
  <c r="P30" i="9"/>
  <c r="O30" i="9"/>
  <c r="N30" i="9"/>
  <c r="L30" i="9"/>
  <c r="K30" i="9"/>
  <c r="M30" i="9" s="1"/>
  <c r="J30" i="9"/>
  <c r="I30" i="9"/>
  <c r="G30" i="9"/>
  <c r="E30" i="9"/>
  <c r="D30" i="9"/>
  <c r="F30" i="9" s="1"/>
  <c r="H30" i="9" s="1"/>
  <c r="AA28" i="9"/>
  <c r="U28" i="9"/>
  <c r="P28" i="9"/>
  <c r="M28" i="9"/>
  <c r="K28" i="9"/>
  <c r="F28" i="9"/>
  <c r="H28" i="9" s="1"/>
  <c r="AA27" i="9"/>
  <c r="U27" i="9"/>
  <c r="P27" i="9"/>
  <c r="K27" i="9"/>
  <c r="M27" i="9" s="1"/>
  <c r="H27" i="9"/>
  <c r="F27" i="9"/>
  <c r="AA26" i="9"/>
  <c r="U26" i="9"/>
  <c r="P26" i="9"/>
  <c r="K26" i="9"/>
  <c r="M26" i="9" s="1"/>
  <c r="H26" i="9"/>
  <c r="F26" i="9"/>
  <c r="AA25" i="9"/>
  <c r="U25" i="9"/>
  <c r="P25" i="9"/>
  <c r="M25" i="9"/>
  <c r="K25" i="9"/>
  <c r="F25" i="9"/>
  <c r="H25" i="9" s="1"/>
  <c r="AA24" i="9"/>
  <c r="U24" i="9"/>
  <c r="P24" i="9"/>
  <c r="M24" i="9"/>
  <c r="K24" i="9"/>
  <c r="F24" i="9"/>
  <c r="H24" i="9" s="1"/>
  <c r="AA23" i="9"/>
  <c r="U23" i="9"/>
  <c r="P23" i="9"/>
  <c r="K23" i="9"/>
  <c r="M23" i="9" s="1"/>
  <c r="H23" i="9"/>
  <c r="F23" i="9"/>
  <c r="AA22" i="9"/>
  <c r="U22" i="9"/>
  <c r="P22" i="9"/>
  <c r="K22" i="9"/>
  <c r="M22" i="9" s="1"/>
  <c r="H22" i="9"/>
  <c r="F22" i="9"/>
  <c r="AA21" i="9"/>
  <c r="U21" i="9"/>
  <c r="P21" i="9"/>
  <c r="M21" i="9"/>
  <c r="K21" i="9"/>
  <c r="F21" i="9"/>
  <c r="H21" i="9" s="1"/>
  <c r="AA20" i="9"/>
  <c r="U20" i="9"/>
  <c r="P20" i="9"/>
  <c r="M20" i="9"/>
  <c r="K20" i="9"/>
  <c r="F20" i="9"/>
  <c r="H20" i="9" s="1"/>
  <c r="AA19" i="9"/>
  <c r="U19" i="9"/>
  <c r="P19" i="9"/>
  <c r="K19" i="9"/>
  <c r="M19" i="9" s="1"/>
  <c r="H19" i="9"/>
  <c r="F19" i="9"/>
  <c r="AA18" i="9"/>
  <c r="U18" i="9"/>
  <c r="P18" i="9"/>
  <c r="K18" i="9"/>
  <c r="M18" i="9" s="1"/>
  <c r="H18" i="9"/>
  <c r="F18" i="9"/>
  <c r="AA17" i="9"/>
  <c r="U17" i="9"/>
  <c r="P17" i="9"/>
  <c r="M17" i="9"/>
  <c r="K17" i="9"/>
  <c r="F17" i="9"/>
  <c r="H17" i="9" s="1"/>
  <c r="AA16" i="9"/>
  <c r="U16" i="9"/>
  <c r="P16" i="9"/>
  <c r="M16" i="9"/>
  <c r="K16" i="9"/>
  <c r="F16" i="9"/>
  <c r="H16" i="9" s="1"/>
  <c r="AA15" i="9"/>
  <c r="U15" i="9"/>
  <c r="P15" i="9"/>
  <c r="K15" i="9"/>
  <c r="M15" i="9" s="1"/>
  <c r="H15" i="9"/>
  <c r="F15" i="9"/>
  <c r="AA14" i="9"/>
  <c r="U14" i="9"/>
  <c r="P14" i="9"/>
  <c r="K14" i="9"/>
  <c r="M14" i="9" s="1"/>
  <c r="H14" i="9"/>
  <c r="F14" i="9"/>
  <c r="AA13" i="9"/>
  <c r="U13" i="9"/>
  <c r="P13" i="9"/>
  <c r="M13" i="9"/>
  <c r="K13" i="9"/>
  <c r="F13" i="9"/>
  <c r="H13" i="9" s="1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Z12" i="9"/>
  <c r="Y12" i="9"/>
  <c r="X12" i="9"/>
  <c r="AA12" i="9" s="1"/>
  <c r="W12" i="9"/>
  <c r="V12" i="9"/>
  <c r="T12" i="9"/>
  <c r="S12" i="9"/>
  <c r="R12" i="9"/>
  <c r="Q12" i="9"/>
  <c r="U12" i="9" s="1"/>
  <c r="P12" i="9"/>
  <c r="O12" i="9"/>
  <c r="N12" i="9"/>
  <c r="L12" i="9"/>
  <c r="K12" i="9"/>
  <c r="M12" i="9" s="1"/>
  <c r="J12" i="9"/>
  <c r="I12" i="9"/>
  <c r="G12" i="9"/>
  <c r="E12" i="9"/>
  <c r="D12" i="9"/>
  <c r="F12" i="9" s="1"/>
  <c r="H12" i="9" s="1"/>
  <c r="AA10" i="9"/>
  <c r="U10" i="9"/>
  <c r="P10" i="9"/>
  <c r="M10" i="9"/>
  <c r="K10" i="9"/>
  <c r="F10" i="9"/>
  <c r="H10" i="9" s="1"/>
  <c r="AA9" i="9"/>
  <c r="U9" i="9"/>
  <c r="P9" i="9"/>
  <c r="K9" i="9"/>
  <c r="M9" i="9" s="1"/>
  <c r="H9" i="9"/>
  <c r="F9" i="9"/>
  <c r="AA8" i="9"/>
  <c r="U8" i="9"/>
  <c r="P8" i="9"/>
  <c r="K8" i="9"/>
  <c r="M8" i="9" s="1"/>
  <c r="H8" i="9"/>
  <c r="F8" i="9"/>
  <c r="AA7" i="9"/>
  <c r="U7" i="9"/>
  <c r="P7" i="9"/>
  <c r="M7" i="9"/>
  <c r="K7" i="9"/>
  <c r="F7" i="9"/>
  <c r="H7" i="9" s="1"/>
  <c r="AA6" i="9"/>
  <c r="U6" i="9"/>
  <c r="P6" i="9"/>
  <c r="M6" i="9"/>
  <c r="K6" i="9"/>
  <c r="F6" i="9"/>
  <c r="H6" i="9" s="1"/>
  <c r="BC5" i="9"/>
  <c r="BC177" i="9" s="1"/>
  <c r="BB5" i="9"/>
  <c r="BB177" i="9" s="1"/>
  <c r="BA5" i="9"/>
  <c r="AZ5" i="9"/>
  <c r="AY5" i="9"/>
  <c r="AY177" i="9" s="1"/>
  <c r="AX5" i="9"/>
  <c r="AX177" i="9" s="1"/>
  <c r="AW5" i="9"/>
  <c r="AV5" i="9"/>
  <c r="AU5" i="9"/>
  <c r="AU177" i="9" s="1"/>
  <c r="AT5" i="9"/>
  <c r="AT177" i="9" s="1"/>
  <c r="AS5" i="9"/>
  <c r="AR5" i="9"/>
  <c r="AQ5" i="9"/>
  <c r="AQ177" i="9" s="1"/>
  <c r="AP5" i="9"/>
  <c r="AP177" i="9" s="1"/>
  <c r="AO5" i="9"/>
  <c r="AN5" i="9"/>
  <c r="AM5" i="9"/>
  <c r="AM177" i="9" s="1"/>
  <c r="AL5" i="9"/>
  <c r="AL177" i="9" s="1"/>
  <c r="AK5" i="9"/>
  <c r="AJ5" i="9"/>
  <c r="AI5" i="9"/>
  <c r="AI177" i="9" s="1"/>
  <c r="AH5" i="9"/>
  <c r="AH177" i="9" s="1"/>
  <c r="AG5" i="9"/>
  <c r="AF5" i="9"/>
  <c r="AE5" i="9"/>
  <c r="AE177" i="9" s="1"/>
  <c r="AD5" i="9"/>
  <c r="AD177" i="9" s="1"/>
  <c r="AC5" i="9"/>
  <c r="AB5" i="9"/>
  <c r="Z5" i="9"/>
  <c r="Y5" i="9"/>
  <c r="X5" i="9"/>
  <c r="W5" i="9"/>
  <c r="AA5" i="9" s="1"/>
  <c r="V5" i="9"/>
  <c r="V177" i="9" s="1"/>
  <c r="T5" i="9"/>
  <c r="S5" i="9"/>
  <c r="R5" i="9"/>
  <c r="Q5" i="9"/>
  <c r="U5" i="9" s="1"/>
  <c r="O5" i="9"/>
  <c r="N5" i="9"/>
  <c r="N177" i="9" s="1"/>
  <c r="L5" i="9"/>
  <c r="K5" i="9"/>
  <c r="M5" i="9" s="1"/>
  <c r="J5" i="9"/>
  <c r="J177" i="9" s="1"/>
  <c r="I5" i="9"/>
  <c r="G5" i="9"/>
  <c r="F5" i="9"/>
  <c r="H5" i="9" s="1"/>
  <c r="E5" i="9"/>
  <c r="D5" i="9"/>
  <c r="AI174" i="8"/>
  <c r="BR174" i="8" s="1"/>
  <c r="AH174" i="8"/>
  <c r="BQ174" i="8" s="1"/>
  <c r="AG174" i="8"/>
  <c r="BP174" i="8" s="1"/>
  <c r="AA174" i="8"/>
  <c r="BJ174" i="8" s="1"/>
  <c r="Z174" i="8"/>
  <c r="BI174" i="8" s="1"/>
  <c r="Y174" i="8"/>
  <c r="BH174" i="8" s="1"/>
  <c r="S174" i="8"/>
  <c r="BB174" i="8" s="1"/>
  <c r="R174" i="8"/>
  <c r="BA174" i="8" s="1"/>
  <c r="Q174" i="8"/>
  <c r="AZ174" i="8" s="1"/>
  <c r="K174" i="8"/>
  <c r="AT174" i="8" s="1"/>
  <c r="J174" i="8"/>
  <c r="AS174" i="8" s="1"/>
  <c r="I174" i="8"/>
  <c r="AR174" i="8" s="1"/>
  <c r="AI173" i="8"/>
  <c r="BR173" i="8" s="1"/>
  <c r="AH173" i="8"/>
  <c r="BQ173" i="8" s="1"/>
  <c r="AG173" i="8"/>
  <c r="BP173" i="8" s="1"/>
  <c r="AA173" i="8"/>
  <c r="BJ173" i="8" s="1"/>
  <c r="Z173" i="8"/>
  <c r="BI173" i="8" s="1"/>
  <c r="Y173" i="8"/>
  <c r="BH173" i="8" s="1"/>
  <c r="S173" i="8"/>
  <c r="BB173" i="8" s="1"/>
  <c r="R173" i="8"/>
  <c r="BA173" i="8" s="1"/>
  <c r="Q173" i="8"/>
  <c r="AZ173" i="8" s="1"/>
  <c r="K173" i="8"/>
  <c r="AT173" i="8" s="1"/>
  <c r="J173" i="8"/>
  <c r="AS173" i="8" s="1"/>
  <c r="I173" i="8"/>
  <c r="AR173" i="8" s="1"/>
  <c r="AI172" i="8"/>
  <c r="BR172" i="8" s="1"/>
  <c r="AH172" i="8"/>
  <c r="BQ172" i="8" s="1"/>
  <c r="AG172" i="8"/>
  <c r="BP172" i="8" s="1"/>
  <c r="AA172" i="8"/>
  <c r="BJ172" i="8" s="1"/>
  <c r="Z172" i="8"/>
  <c r="BI172" i="8" s="1"/>
  <c r="Y172" i="8"/>
  <c r="BH172" i="8" s="1"/>
  <c r="S172" i="8"/>
  <c r="BB172" i="8" s="1"/>
  <c r="R172" i="8"/>
  <c r="BA172" i="8" s="1"/>
  <c r="Q172" i="8"/>
  <c r="AZ172" i="8" s="1"/>
  <c r="K172" i="8"/>
  <c r="AT172" i="8" s="1"/>
  <c r="J172" i="8"/>
  <c r="AS172" i="8" s="1"/>
  <c r="I172" i="8"/>
  <c r="AR172" i="8" s="1"/>
  <c r="AI171" i="8"/>
  <c r="BR171" i="8" s="1"/>
  <c r="AH171" i="8"/>
  <c r="BQ171" i="8" s="1"/>
  <c r="AG171" i="8"/>
  <c r="BP171" i="8" s="1"/>
  <c r="AA171" i="8"/>
  <c r="BJ171" i="8" s="1"/>
  <c r="Z171" i="8"/>
  <c r="BI171" i="8" s="1"/>
  <c r="Y171" i="8"/>
  <c r="BH171" i="8" s="1"/>
  <c r="S171" i="8"/>
  <c r="BB171" i="8" s="1"/>
  <c r="R171" i="8"/>
  <c r="BA171" i="8" s="1"/>
  <c r="Q171" i="8"/>
  <c r="AZ171" i="8" s="1"/>
  <c r="K171" i="8"/>
  <c r="AT171" i="8" s="1"/>
  <c r="J171" i="8"/>
  <c r="AS171" i="8" s="1"/>
  <c r="I171" i="8"/>
  <c r="AR171" i="8" s="1"/>
  <c r="AI170" i="8"/>
  <c r="BR170" i="8" s="1"/>
  <c r="AH170" i="8"/>
  <c r="BQ170" i="8" s="1"/>
  <c r="AG170" i="8"/>
  <c r="BP170" i="8" s="1"/>
  <c r="AA170" i="8"/>
  <c r="BJ170" i="8" s="1"/>
  <c r="Z170" i="8"/>
  <c r="BI170" i="8" s="1"/>
  <c r="Y170" i="8"/>
  <c r="BH170" i="8" s="1"/>
  <c r="S170" i="8"/>
  <c r="BB170" i="8" s="1"/>
  <c r="R170" i="8"/>
  <c r="BA170" i="8" s="1"/>
  <c r="Q170" i="8"/>
  <c r="AZ170" i="8" s="1"/>
  <c r="K170" i="8"/>
  <c r="AT170" i="8" s="1"/>
  <c r="J170" i="8"/>
  <c r="AS170" i="8" s="1"/>
  <c r="I170" i="8"/>
  <c r="AR170" i="8" s="1"/>
  <c r="AI169" i="8"/>
  <c r="BR169" i="8" s="1"/>
  <c r="AH169" i="8"/>
  <c r="BQ169" i="8" s="1"/>
  <c r="AG169" i="8"/>
  <c r="BP169" i="8" s="1"/>
  <c r="AA169" i="8"/>
  <c r="BJ169" i="8" s="1"/>
  <c r="Z169" i="8"/>
  <c r="BI169" i="8" s="1"/>
  <c r="Y169" i="8"/>
  <c r="BH169" i="8" s="1"/>
  <c r="S169" i="8"/>
  <c r="BB169" i="8" s="1"/>
  <c r="R169" i="8"/>
  <c r="BA169" i="8" s="1"/>
  <c r="Q169" i="8"/>
  <c r="AZ169" i="8" s="1"/>
  <c r="K169" i="8"/>
  <c r="AT169" i="8" s="1"/>
  <c r="J169" i="8"/>
  <c r="AS169" i="8" s="1"/>
  <c r="I169" i="8"/>
  <c r="AR169" i="8" s="1"/>
  <c r="AI168" i="8"/>
  <c r="BR168" i="8" s="1"/>
  <c r="AH168" i="8"/>
  <c r="BQ168" i="8" s="1"/>
  <c r="AG168" i="8"/>
  <c r="BP168" i="8" s="1"/>
  <c r="AA168" i="8"/>
  <c r="BJ168" i="8" s="1"/>
  <c r="Z168" i="8"/>
  <c r="BI168" i="8" s="1"/>
  <c r="Y168" i="8"/>
  <c r="BH168" i="8" s="1"/>
  <c r="S168" i="8"/>
  <c r="BB168" i="8" s="1"/>
  <c r="R168" i="8"/>
  <c r="BA168" i="8" s="1"/>
  <c r="Q168" i="8"/>
  <c r="AZ168" i="8" s="1"/>
  <c r="K168" i="8"/>
  <c r="AT168" i="8" s="1"/>
  <c r="J168" i="8"/>
  <c r="AS168" i="8" s="1"/>
  <c r="I168" i="8"/>
  <c r="AR168" i="8" s="1"/>
  <c r="AI167" i="8"/>
  <c r="BR167" i="8" s="1"/>
  <c r="AH167" i="8"/>
  <c r="BQ167" i="8" s="1"/>
  <c r="AG167" i="8"/>
  <c r="BP167" i="8" s="1"/>
  <c r="AA167" i="8"/>
  <c r="BJ167" i="8" s="1"/>
  <c r="Z167" i="8"/>
  <c r="BI167" i="8" s="1"/>
  <c r="Y167" i="8"/>
  <c r="BH167" i="8" s="1"/>
  <c r="S167" i="8"/>
  <c r="BB167" i="8" s="1"/>
  <c r="R167" i="8"/>
  <c r="BA167" i="8" s="1"/>
  <c r="Q167" i="8"/>
  <c r="AZ167" i="8" s="1"/>
  <c r="K167" i="8"/>
  <c r="AT167" i="8" s="1"/>
  <c r="J167" i="8"/>
  <c r="AS167" i="8" s="1"/>
  <c r="I167" i="8"/>
  <c r="AR167" i="8" s="1"/>
  <c r="G175" i="8"/>
  <c r="AI165" i="8"/>
  <c r="BR165" i="8" s="1"/>
  <c r="AH165" i="8"/>
  <c r="BQ165" i="8" s="1"/>
  <c r="AG165" i="8"/>
  <c r="BP165" i="8" s="1"/>
  <c r="AA165" i="8"/>
  <c r="BJ165" i="8" s="1"/>
  <c r="Z165" i="8"/>
  <c r="BI165" i="8" s="1"/>
  <c r="Y165" i="8"/>
  <c r="BH165" i="8" s="1"/>
  <c r="S165" i="8"/>
  <c r="BB165" i="8" s="1"/>
  <c r="R165" i="8"/>
  <c r="BA165" i="8" s="1"/>
  <c r="Q165" i="8"/>
  <c r="AZ165" i="8" s="1"/>
  <c r="K165" i="8"/>
  <c r="AT165" i="8" s="1"/>
  <c r="J165" i="8"/>
  <c r="AS165" i="8" s="1"/>
  <c r="I165" i="8"/>
  <c r="AR165" i="8" s="1"/>
  <c r="AI164" i="8"/>
  <c r="BR164" i="8" s="1"/>
  <c r="AH164" i="8"/>
  <c r="BQ164" i="8" s="1"/>
  <c r="AG164" i="8"/>
  <c r="BP164" i="8" s="1"/>
  <c r="AA164" i="8"/>
  <c r="BJ164" i="8" s="1"/>
  <c r="Z164" i="8"/>
  <c r="BI164" i="8" s="1"/>
  <c r="Y164" i="8"/>
  <c r="BH164" i="8" s="1"/>
  <c r="S164" i="8"/>
  <c r="BB164" i="8" s="1"/>
  <c r="R164" i="8"/>
  <c r="BA164" i="8" s="1"/>
  <c r="Q164" i="8"/>
  <c r="AZ164" i="8" s="1"/>
  <c r="K164" i="8"/>
  <c r="AT164" i="8" s="1"/>
  <c r="J164" i="8"/>
  <c r="AS164" i="8" s="1"/>
  <c r="I164" i="8"/>
  <c r="AR164" i="8" s="1"/>
  <c r="AI163" i="8"/>
  <c r="BR163" i="8" s="1"/>
  <c r="AH163" i="8"/>
  <c r="BQ163" i="8" s="1"/>
  <c r="AG163" i="8"/>
  <c r="BP163" i="8" s="1"/>
  <c r="AA163" i="8"/>
  <c r="BJ163" i="8" s="1"/>
  <c r="Z163" i="8"/>
  <c r="BI163" i="8" s="1"/>
  <c r="Y163" i="8"/>
  <c r="BH163" i="8" s="1"/>
  <c r="S163" i="8"/>
  <c r="BB163" i="8" s="1"/>
  <c r="R163" i="8"/>
  <c r="BA163" i="8" s="1"/>
  <c r="Q163" i="8"/>
  <c r="AZ163" i="8" s="1"/>
  <c r="K163" i="8"/>
  <c r="AT163" i="8" s="1"/>
  <c r="J163" i="8"/>
  <c r="AS163" i="8" s="1"/>
  <c r="I163" i="8"/>
  <c r="AR163" i="8" s="1"/>
  <c r="AI162" i="8"/>
  <c r="BR162" i="8" s="1"/>
  <c r="AH162" i="8"/>
  <c r="BQ162" i="8" s="1"/>
  <c r="AG162" i="8"/>
  <c r="BP162" i="8" s="1"/>
  <c r="AA162" i="8"/>
  <c r="BJ162" i="8" s="1"/>
  <c r="Z162" i="8"/>
  <c r="BI162" i="8" s="1"/>
  <c r="Y162" i="8"/>
  <c r="BH162" i="8" s="1"/>
  <c r="S162" i="8"/>
  <c r="BB162" i="8" s="1"/>
  <c r="R162" i="8"/>
  <c r="BA162" i="8" s="1"/>
  <c r="Q162" i="8"/>
  <c r="AZ162" i="8" s="1"/>
  <c r="K162" i="8"/>
  <c r="AT162" i="8" s="1"/>
  <c r="J162" i="8"/>
  <c r="AS162" i="8" s="1"/>
  <c r="I162" i="8"/>
  <c r="AR162" i="8" s="1"/>
  <c r="AI161" i="8"/>
  <c r="BR161" i="8" s="1"/>
  <c r="AH161" i="8"/>
  <c r="BQ161" i="8" s="1"/>
  <c r="AG161" i="8"/>
  <c r="BP161" i="8" s="1"/>
  <c r="AA161" i="8"/>
  <c r="BJ161" i="8" s="1"/>
  <c r="Z161" i="8"/>
  <c r="BI161" i="8" s="1"/>
  <c r="Y161" i="8"/>
  <c r="BH161" i="8" s="1"/>
  <c r="S161" i="8"/>
  <c r="BB161" i="8" s="1"/>
  <c r="R161" i="8"/>
  <c r="BA161" i="8" s="1"/>
  <c r="Q161" i="8"/>
  <c r="AZ161" i="8" s="1"/>
  <c r="K161" i="8"/>
  <c r="AT161" i="8" s="1"/>
  <c r="J161" i="8"/>
  <c r="AS161" i="8" s="1"/>
  <c r="I161" i="8"/>
  <c r="AR161" i="8" s="1"/>
  <c r="AI160" i="8"/>
  <c r="BR160" i="8" s="1"/>
  <c r="AH160" i="8"/>
  <c r="BQ160" i="8" s="1"/>
  <c r="AG160" i="8"/>
  <c r="BP160" i="8" s="1"/>
  <c r="AA160" i="8"/>
  <c r="BJ160" i="8" s="1"/>
  <c r="Z160" i="8"/>
  <c r="BI160" i="8" s="1"/>
  <c r="Y160" i="8"/>
  <c r="BH160" i="8" s="1"/>
  <c r="S160" i="8"/>
  <c r="BB160" i="8" s="1"/>
  <c r="R160" i="8"/>
  <c r="BA160" i="8" s="1"/>
  <c r="Q160" i="8"/>
  <c r="AZ160" i="8" s="1"/>
  <c r="K160" i="8"/>
  <c r="AT160" i="8" s="1"/>
  <c r="J160" i="8"/>
  <c r="AS160" i="8" s="1"/>
  <c r="I160" i="8"/>
  <c r="AR160" i="8" s="1"/>
  <c r="AI159" i="8"/>
  <c r="BR159" i="8" s="1"/>
  <c r="AH159" i="8"/>
  <c r="BQ159" i="8" s="1"/>
  <c r="AG159" i="8"/>
  <c r="BP159" i="8" s="1"/>
  <c r="AA159" i="8"/>
  <c r="BJ159" i="8" s="1"/>
  <c r="Z159" i="8"/>
  <c r="BI159" i="8" s="1"/>
  <c r="Y159" i="8"/>
  <c r="BH159" i="8" s="1"/>
  <c r="S159" i="8"/>
  <c r="BB159" i="8" s="1"/>
  <c r="R159" i="8"/>
  <c r="BA159" i="8" s="1"/>
  <c r="Q159" i="8"/>
  <c r="AZ159" i="8" s="1"/>
  <c r="K159" i="8"/>
  <c r="AT159" i="8" s="1"/>
  <c r="J159" i="8"/>
  <c r="AS159" i="8" s="1"/>
  <c r="I159" i="8"/>
  <c r="AR159" i="8" s="1"/>
  <c r="AI158" i="8"/>
  <c r="BR158" i="8" s="1"/>
  <c r="AH158" i="8"/>
  <c r="BQ158" i="8" s="1"/>
  <c r="AG158" i="8"/>
  <c r="BP158" i="8" s="1"/>
  <c r="AA158" i="8"/>
  <c r="BJ158" i="8" s="1"/>
  <c r="Z158" i="8"/>
  <c r="BI158" i="8" s="1"/>
  <c r="Y158" i="8"/>
  <c r="BH158" i="8" s="1"/>
  <c r="S158" i="8"/>
  <c r="BB158" i="8" s="1"/>
  <c r="R158" i="8"/>
  <c r="BA158" i="8" s="1"/>
  <c r="Q158" i="8"/>
  <c r="AZ158" i="8" s="1"/>
  <c r="K158" i="8"/>
  <c r="AT158" i="8" s="1"/>
  <c r="J158" i="8"/>
  <c r="AS158" i="8" s="1"/>
  <c r="I158" i="8"/>
  <c r="AR158" i="8" s="1"/>
  <c r="AI157" i="8"/>
  <c r="BR157" i="8" s="1"/>
  <c r="AH157" i="8"/>
  <c r="BQ157" i="8" s="1"/>
  <c r="AG157" i="8"/>
  <c r="BP157" i="8" s="1"/>
  <c r="AA157" i="8"/>
  <c r="BJ157" i="8" s="1"/>
  <c r="Z157" i="8"/>
  <c r="BI157" i="8" s="1"/>
  <c r="Y157" i="8"/>
  <c r="BH157" i="8" s="1"/>
  <c r="S157" i="8"/>
  <c r="BB157" i="8" s="1"/>
  <c r="R157" i="8"/>
  <c r="BA157" i="8" s="1"/>
  <c r="Q157" i="8"/>
  <c r="AZ157" i="8" s="1"/>
  <c r="K157" i="8"/>
  <c r="AT157" i="8" s="1"/>
  <c r="J157" i="8"/>
  <c r="AS157" i="8" s="1"/>
  <c r="I157" i="8"/>
  <c r="AR157" i="8" s="1"/>
  <c r="AI156" i="8"/>
  <c r="BR156" i="8" s="1"/>
  <c r="AH156" i="8"/>
  <c r="BQ156" i="8" s="1"/>
  <c r="AG156" i="8"/>
  <c r="BP156" i="8" s="1"/>
  <c r="AA156" i="8"/>
  <c r="BJ156" i="8" s="1"/>
  <c r="Z156" i="8"/>
  <c r="BI156" i="8" s="1"/>
  <c r="Y156" i="8"/>
  <c r="BH156" i="8" s="1"/>
  <c r="S156" i="8"/>
  <c r="BB156" i="8" s="1"/>
  <c r="R156" i="8"/>
  <c r="BA156" i="8" s="1"/>
  <c r="Q156" i="8"/>
  <c r="AZ156" i="8" s="1"/>
  <c r="K156" i="8"/>
  <c r="AT156" i="8" s="1"/>
  <c r="J156" i="8"/>
  <c r="AS156" i="8" s="1"/>
  <c r="I156" i="8"/>
  <c r="AR156" i="8" s="1"/>
  <c r="AI155" i="8"/>
  <c r="BR155" i="8" s="1"/>
  <c r="AH155" i="8"/>
  <c r="BQ155" i="8" s="1"/>
  <c r="AG155" i="8"/>
  <c r="BP155" i="8" s="1"/>
  <c r="AA155" i="8"/>
  <c r="BJ155" i="8" s="1"/>
  <c r="Z155" i="8"/>
  <c r="BI155" i="8" s="1"/>
  <c r="Y155" i="8"/>
  <c r="BH155" i="8" s="1"/>
  <c r="S155" i="8"/>
  <c r="BB155" i="8" s="1"/>
  <c r="R155" i="8"/>
  <c r="BA155" i="8" s="1"/>
  <c r="Q155" i="8"/>
  <c r="AZ155" i="8" s="1"/>
  <c r="K155" i="8"/>
  <c r="AT155" i="8" s="1"/>
  <c r="J155" i="8"/>
  <c r="AS155" i="8" s="1"/>
  <c r="I155" i="8"/>
  <c r="AR155" i="8" s="1"/>
  <c r="AI154" i="8"/>
  <c r="BR154" i="8" s="1"/>
  <c r="AH154" i="8"/>
  <c r="BQ154" i="8" s="1"/>
  <c r="AG154" i="8"/>
  <c r="BP154" i="8" s="1"/>
  <c r="AA154" i="8"/>
  <c r="BJ154" i="8" s="1"/>
  <c r="Z154" i="8"/>
  <c r="BI154" i="8" s="1"/>
  <c r="Y154" i="8"/>
  <c r="BH154" i="8" s="1"/>
  <c r="S154" i="8"/>
  <c r="BB154" i="8" s="1"/>
  <c r="R154" i="8"/>
  <c r="BA154" i="8" s="1"/>
  <c r="Q154" i="8"/>
  <c r="AZ154" i="8" s="1"/>
  <c r="K154" i="8"/>
  <c r="AT154" i="8" s="1"/>
  <c r="J154" i="8"/>
  <c r="AS154" i="8" s="1"/>
  <c r="I154" i="8"/>
  <c r="AR154" i="8" s="1"/>
  <c r="AI153" i="8"/>
  <c r="BR153" i="8" s="1"/>
  <c r="AH153" i="8"/>
  <c r="BQ153" i="8" s="1"/>
  <c r="AG153" i="8"/>
  <c r="BP153" i="8" s="1"/>
  <c r="AA153" i="8"/>
  <c r="BJ153" i="8" s="1"/>
  <c r="Z153" i="8"/>
  <c r="BI153" i="8" s="1"/>
  <c r="Y153" i="8"/>
  <c r="BH153" i="8" s="1"/>
  <c r="S153" i="8"/>
  <c r="BB153" i="8" s="1"/>
  <c r="R153" i="8"/>
  <c r="BA153" i="8" s="1"/>
  <c r="Q153" i="8"/>
  <c r="AZ153" i="8" s="1"/>
  <c r="K153" i="8"/>
  <c r="AT153" i="8" s="1"/>
  <c r="J153" i="8"/>
  <c r="AS153" i="8" s="1"/>
  <c r="I153" i="8"/>
  <c r="AR153" i="8" s="1"/>
  <c r="AI152" i="8"/>
  <c r="BR152" i="8" s="1"/>
  <c r="AH152" i="8"/>
  <c r="BQ152" i="8" s="1"/>
  <c r="AG152" i="8"/>
  <c r="BP152" i="8" s="1"/>
  <c r="AA152" i="8"/>
  <c r="BJ152" i="8" s="1"/>
  <c r="Z152" i="8"/>
  <c r="BI152" i="8" s="1"/>
  <c r="Y152" i="8"/>
  <c r="BH152" i="8" s="1"/>
  <c r="S152" i="8"/>
  <c r="BB152" i="8" s="1"/>
  <c r="R152" i="8"/>
  <c r="BA152" i="8" s="1"/>
  <c r="Q152" i="8"/>
  <c r="AZ152" i="8" s="1"/>
  <c r="K152" i="8"/>
  <c r="AT152" i="8" s="1"/>
  <c r="J152" i="8"/>
  <c r="AS152" i="8" s="1"/>
  <c r="I152" i="8"/>
  <c r="AR152" i="8" s="1"/>
  <c r="AI151" i="8"/>
  <c r="BR151" i="8" s="1"/>
  <c r="AH151" i="8"/>
  <c r="BQ151" i="8" s="1"/>
  <c r="AG151" i="8"/>
  <c r="BP151" i="8" s="1"/>
  <c r="AA151" i="8"/>
  <c r="BJ151" i="8" s="1"/>
  <c r="Z151" i="8"/>
  <c r="BI151" i="8" s="1"/>
  <c r="Y151" i="8"/>
  <c r="BH151" i="8" s="1"/>
  <c r="S151" i="8"/>
  <c r="BB151" i="8" s="1"/>
  <c r="R151" i="8"/>
  <c r="BA151" i="8" s="1"/>
  <c r="Q151" i="8"/>
  <c r="AZ151" i="8" s="1"/>
  <c r="K151" i="8"/>
  <c r="AT151" i="8" s="1"/>
  <c r="J151" i="8"/>
  <c r="AS151" i="8" s="1"/>
  <c r="I151" i="8"/>
  <c r="AR151" i="8" s="1"/>
  <c r="AI150" i="8"/>
  <c r="BR150" i="8" s="1"/>
  <c r="AH150" i="8"/>
  <c r="BQ150" i="8" s="1"/>
  <c r="AG150" i="8"/>
  <c r="BP150" i="8" s="1"/>
  <c r="AA150" i="8"/>
  <c r="BJ150" i="8" s="1"/>
  <c r="Z150" i="8"/>
  <c r="BI150" i="8" s="1"/>
  <c r="Y150" i="8"/>
  <c r="BH150" i="8" s="1"/>
  <c r="S150" i="8"/>
  <c r="BB150" i="8" s="1"/>
  <c r="R150" i="8"/>
  <c r="BA150" i="8" s="1"/>
  <c r="Q150" i="8"/>
  <c r="AZ150" i="8" s="1"/>
  <c r="K150" i="8"/>
  <c r="AT150" i="8" s="1"/>
  <c r="J150" i="8"/>
  <c r="AS150" i="8" s="1"/>
  <c r="I150" i="8"/>
  <c r="AR150" i="8" s="1"/>
  <c r="AI149" i="8"/>
  <c r="BR149" i="8" s="1"/>
  <c r="AH149" i="8"/>
  <c r="BQ149" i="8" s="1"/>
  <c r="AG149" i="8"/>
  <c r="BP149" i="8" s="1"/>
  <c r="AA149" i="8"/>
  <c r="BJ149" i="8" s="1"/>
  <c r="Z149" i="8"/>
  <c r="BI149" i="8" s="1"/>
  <c r="Y149" i="8"/>
  <c r="BH149" i="8" s="1"/>
  <c r="S149" i="8"/>
  <c r="BB149" i="8" s="1"/>
  <c r="R149" i="8"/>
  <c r="BA149" i="8" s="1"/>
  <c r="Q149" i="8"/>
  <c r="AZ149" i="8" s="1"/>
  <c r="K149" i="8"/>
  <c r="AT149" i="8" s="1"/>
  <c r="J149" i="8"/>
  <c r="AS149" i="8" s="1"/>
  <c r="I149" i="8"/>
  <c r="AR149" i="8" s="1"/>
  <c r="AI148" i="8"/>
  <c r="BR148" i="8" s="1"/>
  <c r="AH148" i="8"/>
  <c r="BQ148" i="8" s="1"/>
  <c r="AG148" i="8"/>
  <c r="BP148" i="8" s="1"/>
  <c r="AA148" i="8"/>
  <c r="BJ148" i="8" s="1"/>
  <c r="Z148" i="8"/>
  <c r="BI148" i="8" s="1"/>
  <c r="Y148" i="8"/>
  <c r="BH148" i="8" s="1"/>
  <c r="S148" i="8"/>
  <c r="BB148" i="8" s="1"/>
  <c r="R148" i="8"/>
  <c r="BA148" i="8" s="1"/>
  <c r="Q148" i="8"/>
  <c r="AZ148" i="8" s="1"/>
  <c r="K148" i="8"/>
  <c r="AT148" i="8" s="1"/>
  <c r="J148" i="8"/>
  <c r="AS148" i="8" s="1"/>
  <c r="I148" i="8"/>
  <c r="AR148" i="8" s="1"/>
  <c r="AI147" i="8"/>
  <c r="BR147" i="8" s="1"/>
  <c r="AH147" i="8"/>
  <c r="BQ147" i="8" s="1"/>
  <c r="AG147" i="8"/>
  <c r="BP147" i="8" s="1"/>
  <c r="AA147" i="8"/>
  <c r="BJ147" i="8" s="1"/>
  <c r="Z147" i="8"/>
  <c r="BI147" i="8" s="1"/>
  <c r="Y147" i="8"/>
  <c r="BH147" i="8" s="1"/>
  <c r="S147" i="8"/>
  <c r="BB147" i="8" s="1"/>
  <c r="R147" i="8"/>
  <c r="BA147" i="8" s="1"/>
  <c r="Q147" i="8"/>
  <c r="AZ147" i="8" s="1"/>
  <c r="K147" i="8"/>
  <c r="AT147" i="8" s="1"/>
  <c r="J147" i="8"/>
  <c r="AS147" i="8" s="1"/>
  <c r="I147" i="8"/>
  <c r="AR147" i="8" s="1"/>
  <c r="AI146" i="8"/>
  <c r="BR146" i="8" s="1"/>
  <c r="AH146" i="8"/>
  <c r="BQ146" i="8" s="1"/>
  <c r="AG146" i="8"/>
  <c r="BP146" i="8" s="1"/>
  <c r="AA146" i="8"/>
  <c r="BJ146" i="8" s="1"/>
  <c r="Z146" i="8"/>
  <c r="BI146" i="8" s="1"/>
  <c r="Y146" i="8"/>
  <c r="BH146" i="8" s="1"/>
  <c r="S146" i="8"/>
  <c r="BB146" i="8" s="1"/>
  <c r="R146" i="8"/>
  <c r="BA146" i="8" s="1"/>
  <c r="Q146" i="8"/>
  <c r="AZ146" i="8" s="1"/>
  <c r="K146" i="8"/>
  <c r="AT146" i="8" s="1"/>
  <c r="J146" i="8"/>
  <c r="AS146" i="8" s="1"/>
  <c r="I146" i="8"/>
  <c r="AR146" i="8" s="1"/>
  <c r="AI145" i="8"/>
  <c r="BR145" i="8" s="1"/>
  <c r="AH145" i="8"/>
  <c r="BQ145" i="8" s="1"/>
  <c r="AG145" i="8"/>
  <c r="BP145" i="8" s="1"/>
  <c r="AA145" i="8"/>
  <c r="BJ145" i="8" s="1"/>
  <c r="Z145" i="8"/>
  <c r="BI145" i="8" s="1"/>
  <c r="Y145" i="8"/>
  <c r="BH145" i="8" s="1"/>
  <c r="S145" i="8"/>
  <c r="BB145" i="8" s="1"/>
  <c r="R145" i="8"/>
  <c r="BA145" i="8" s="1"/>
  <c r="Q145" i="8"/>
  <c r="AZ145" i="8" s="1"/>
  <c r="K145" i="8"/>
  <c r="AT145" i="8" s="1"/>
  <c r="J145" i="8"/>
  <c r="AS145" i="8" s="1"/>
  <c r="I145" i="8"/>
  <c r="AR145" i="8" s="1"/>
  <c r="AI144" i="8"/>
  <c r="BR144" i="8" s="1"/>
  <c r="AH144" i="8"/>
  <c r="BQ144" i="8" s="1"/>
  <c r="AG144" i="8"/>
  <c r="BP144" i="8" s="1"/>
  <c r="AA144" i="8"/>
  <c r="BJ144" i="8" s="1"/>
  <c r="Z144" i="8"/>
  <c r="BI144" i="8" s="1"/>
  <c r="Y144" i="8"/>
  <c r="BH144" i="8" s="1"/>
  <c r="S144" i="8"/>
  <c r="BB144" i="8" s="1"/>
  <c r="R144" i="8"/>
  <c r="BA144" i="8" s="1"/>
  <c r="Q144" i="8"/>
  <c r="AZ144" i="8" s="1"/>
  <c r="K144" i="8"/>
  <c r="AT144" i="8" s="1"/>
  <c r="J144" i="8"/>
  <c r="AS144" i="8" s="1"/>
  <c r="I144" i="8"/>
  <c r="AR144" i="8" s="1"/>
  <c r="AI143" i="8"/>
  <c r="BR143" i="8" s="1"/>
  <c r="AH143" i="8"/>
  <c r="BQ143" i="8" s="1"/>
  <c r="AG143" i="8"/>
  <c r="BP143" i="8" s="1"/>
  <c r="AA143" i="8"/>
  <c r="BJ143" i="8" s="1"/>
  <c r="Z143" i="8"/>
  <c r="BI143" i="8" s="1"/>
  <c r="Y143" i="8"/>
  <c r="BH143" i="8" s="1"/>
  <c r="S143" i="8"/>
  <c r="BB143" i="8" s="1"/>
  <c r="R143" i="8"/>
  <c r="BA143" i="8" s="1"/>
  <c r="Q143" i="8"/>
  <c r="AZ143" i="8" s="1"/>
  <c r="K143" i="8"/>
  <c r="AT143" i="8" s="1"/>
  <c r="J143" i="8"/>
  <c r="AS143" i="8" s="1"/>
  <c r="I143" i="8"/>
  <c r="AR143" i="8" s="1"/>
  <c r="AI142" i="8"/>
  <c r="BR142" i="8" s="1"/>
  <c r="AH142" i="8"/>
  <c r="BQ142" i="8" s="1"/>
  <c r="AG142" i="8"/>
  <c r="BP142" i="8" s="1"/>
  <c r="AA142" i="8"/>
  <c r="BJ142" i="8" s="1"/>
  <c r="Z142" i="8"/>
  <c r="BI142" i="8" s="1"/>
  <c r="Y142" i="8"/>
  <c r="BH142" i="8" s="1"/>
  <c r="S142" i="8"/>
  <c r="BB142" i="8" s="1"/>
  <c r="R142" i="8"/>
  <c r="BA142" i="8" s="1"/>
  <c r="Q142" i="8"/>
  <c r="AZ142" i="8" s="1"/>
  <c r="K142" i="8"/>
  <c r="AT142" i="8" s="1"/>
  <c r="J142" i="8"/>
  <c r="AS142" i="8" s="1"/>
  <c r="I142" i="8"/>
  <c r="AR142" i="8" s="1"/>
  <c r="AI141" i="8"/>
  <c r="BR141" i="8" s="1"/>
  <c r="AH141" i="8"/>
  <c r="BQ141" i="8" s="1"/>
  <c r="AG141" i="8"/>
  <c r="BP141" i="8" s="1"/>
  <c r="AA141" i="8"/>
  <c r="BJ141" i="8" s="1"/>
  <c r="Z141" i="8"/>
  <c r="BI141" i="8" s="1"/>
  <c r="Y141" i="8"/>
  <c r="BH141" i="8" s="1"/>
  <c r="S141" i="8"/>
  <c r="BB141" i="8" s="1"/>
  <c r="R141" i="8"/>
  <c r="BA141" i="8" s="1"/>
  <c r="Q141" i="8"/>
  <c r="AZ141" i="8" s="1"/>
  <c r="K141" i="8"/>
  <c r="AT141" i="8" s="1"/>
  <c r="J141" i="8"/>
  <c r="AS141" i="8" s="1"/>
  <c r="I141" i="8"/>
  <c r="AR141" i="8" s="1"/>
  <c r="AI140" i="8"/>
  <c r="BR140" i="8" s="1"/>
  <c r="AH140" i="8"/>
  <c r="BQ140" i="8" s="1"/>
  <c r="AG140" i="8"/>
  <c r="BP140" i="8" s="1"/>
  <c r="AA140" i="8"/>
  <c r="BJ140" i="8" s="1"/>
  <c r="Z140" i="8"/>
  <c r="BI140" i="8" s="1"/>
  <c r="Y140" i="8"/>
  <c r="BH140" i="8" s="1"/>
  <c r="S140" i="8"/>
  <c r="BB140" i="8" s="1"/>
  <c r="R140" i="8"/>
  <c r="BA140" i="8" s="1"/>
  <c r="Q140" i="8"/>
  <c r="AZ140" i="8" s="1"/>
  <c r="K140" i="8"/>
  <c r="AT140" i="8" s="1"/>
  <c r="J140" i="8"/>
  <c r="AS140" i="8" s="1"/>
  <c r="I140" i="8"/>
  <c r="AR140" i="8" s="1"/>
  <c r="AI139" i="8"/>
  <c r="BR139" i="8" s="1"/>
  <c r="AH139" i="8"/>
  <c r="BQ139" i="8" s="1"/>
  <c r="AG139" i="8"/>
  <c r="BP139" i="8" s="1"/>
  <c r="AA139" i="8"/>
  <c r="BJ139" i="8" s="1"/>
  <c r="Z139" i="8"/>
  <c r="BI139" i="8" s="1"/>
  <c r="Y139" i="8"/>
  <c r="BH139" i="8" s="1"/>
  <c r="S139" i="8"/>
  <c r="BB139" i="8" s="1"/>
  <c r="R139" i="8"/>
  <c r="BA139" i="8" s="1"/>
  <c r="Q139" i="8"/>
  <c r="AZ139" i="8" s="1"/>
  <c r="K139" i="8"/>
  <c r="AT139" i="8" s="1"/>
  <c r="J139" i="8"/>
  <c r="AS139" i="8" s="1"/>
  <c r="I139" i="8"/>
  <c r="AR139" i="8" s="1"/>
  <c r="AI138" i="8"/>
  <c r="BR138" i="8" s="1"/>
  <c r="AH138" i="8"/>
  <c r="BQ138" i="8" s="1"/>
  <c r="AG138" i="8"/>
  <c r="BP138" i="8" s="1"/>
  <c r="AA138" i="8"/>
  <c r="BJ138" i="8" s="1"/>
  <c r="Z138" i="8"/>
  <c r="BI138" i="8" s="1"/>
  <c r="Y138" i="8"/>
  <c r="BH138" i="8" s="1"/>
  <c r="S138" i="8"/>
  <c r="BB138" i="8" s="1"/>
  <c r="R138" i="8"/>
  <c r="BA138" i="8" s="1"/>
  <c r="Q138" i="8"/>
  <c r="AZ138" i="8" s="1"/>
  <c r="K138" i="8"/>
  <c r="AT138" i="8" s="1"/>
  <c r="J138" i="8"/>
  <c r="AS138" i="8" s="1"/>
  <c r="I138" i="8"/>
  <c r="AR138" i="8" s="1"/>
  <c r="AI137" i="8"/>
  <c r="BR137" i="8" s="1"/>
  <c r="AH137" i="8"/>
  <c r="BQ137" i="8" s="1"/>
  <c r="AG137" i="8"/>
  <c r="BP137" i="8" s="1"/>
  <c r="AA137" i="8"/>
  <c r="BJ137" i="8" s="1"/>
  <c r="Z137" i="8"/>
  <c r="BI137" i="8" s="1"/>
  <c r="Y137" i="8"/>
  <c r="BH137" i="8" s="1"/>
  <c r="S137" i="8"/>
  <c r="BB137" i="8" s="1"/>
  <c r="R137" i="8"/>
  <c r="BA137" i="8" s="1"/>
  <c r="Q137" i="8"/>
  <c r="AZ137" i="8" s="1"/>
  <c r="K137" i="8"/>
  <c r="AT137" i="8" s="1"/>
  <c r="J137" i="8"/>
  <c r="AS137" i="8" s="1"/>
  <c r="I137" i="8"/>
  <c r="AR137" i="8" s="1"/>
  <c r="AI136" i="8"/>
  <c r="BR136" i="8" s="1"/>
  <c r="AH136" i="8"/>
  <c r="BQ136" i="8" s="1"/>
  <c r="AG136" i="8"/>
  <c r="BP136" i="8" s="1"/>
  <c r="AA136" i="8"/>
  <c r="BJ136" i="8" s="1"/>
  <c r="Z136" i="8"/>
  <c r="BI136" i="8" s="1"/>
  <c r="Y136" i="8"/>
  <c r="BH136" i="8" s="1"/>
  <c r="S136" i="8"/>
  <c r="BB136" i="8" s="1"/>
  <c r="R136" i="8"/>
  <c r="BA136" i="8" s="1"/>
  <c r="Q136" i="8"/>
  <c r="AZ136" i="8" s="1"/>
  <c r="K136" i="8"/>
  <c r="AT136" i="8" s="1"/>
  <c r="J136" i="8"/>
  <c r="AS136" i="8" s="1"/>
  <c r="I136" i="8"/>
  <c r="AR136" i="8" s="1"/>
  <c r="AI135" i="8"/>
  <c r="BR135" i="8" s="1"/>
  <c r="AH135" i="8"/>
  <c r="BQ135" i="8" s="1"/>
  <c r="AG135" i="8"/>
  <c r="BP135" i="8" s="1"/>
  <c r="AA135" i="8"/>
  <c r="BJ135" i="8" s="1"/>
  <c r="Z135" i="8"/>
  <c r="BI135" i="8" s="1"/>
  <c r="Y135" i="8"/>
  <c r="BH135" i="8" s="1"/>
  <c r="S135" i="8"/>
  <c r="BB135" i="8" s="1"/>
  <c r="R135" i="8"/>
  <c r="BA135" i="8" s="1"/>
  <c r="Q135" i="8"/>
  <c r="AZ135" i="8" s="1"/>
  <c r="K135" i="8"/>
  <c r="AT135" i="8" s="1"/>
  <c r="J135" i="8"/>
  <c r="AS135" i="8" s="1"/>
  <c r="I135" i="8"/>
  <c r="AR135" i="8" s="1"/>
  <c r="AI134" i="8"/>
  <c r="BR134" i="8" s="1"/>
  <c r="AH134" i="8"/>
  <c r="BQ134" i="8" s="1"/>
  <c r="AG134" i="8"/>
  <c r="BP134" i="8" s="1"/>
  <c r="AA134" i="8"/>
  <c r="BJ134" i="8" s="1"/>
  <c r="Z134" i="8"/>
  <c r="BI134" i="8" s="1"/>
  <c r="Y134" i="8"/>
  <c r="BH134" i="8" s="1"/>
  <c r="S134" i="8"/>
  <c r="BB134" i="8" s="1"/>
  <c r="R134" i="8"/>
  <c r="BA134" i="8" s="1"/>
  <c r="Q134" i="8"/>
  <c r="AZ134" i="8" s="1"/>
  <c r="K134" i="8"/>
  <c r="AT134" i="8" s="1"/>
  <c r="J134" i="8"/>
  <c r="AS134" i="8" s="1"/>
  <c r="I134" i="8"/>
  <c r="AR134" i="8" s="1"/>
  <c r="AI133" i="8"/>
  <c r="BR133" i="8" s="1"/>
  <c r="AH133" i="8"/>
  <c r="BQ133" i="8" s="1"/>
  <c r="AG133" i="8"/>
  <c r="BP133" i="8" s="1"/>
  <c r="AA133" i="8"/>
  <c r="BJ133" i="8" s="1"/>
  <c r="Z133" i="8"/>
  <c r="BI133" i="8" s="1"/>
  <c r="Y133" i="8"/>
  <c r="BH133" i="8" s="1"/>
  <c r="S133" i="8"/>
  <c r="BB133" i="8" s="1"/>
  <c r="R133" i="8"/>
  <c r="BA133" i="8" s="1"/>
  <c r="Q133" i="8"/>
  <c r="AZ133" i="8" s="1"/>
  <c r="K133" i="8"/>
  <c r="AT133" i="8" s="1"/>
  <c r="J133" i="8"/>
  <c r="AS133" i="8" s="1"/>
  <c r="I133" i="8"/>
  <c r="AR133" i="8" s="1"/>
  <c r="AI132" i="8"/>
  <c r="BR132" i="8" s="1"/>
  <c r="AH132" i="8"/>
  <c r="BQ132" i="8" s="1"/>
  <c r="AG132" i="8"/>
  <c r="BP132" i="8" s="1"/>
  <c r="AA132" i="8"/>
  <c r="BJ132" i="8" s="1"/>
  <c r="Z132" i="8"/>
  <c r="BI132" i="8" s="1"/>
  <c r="Y132" i="8"/>
  <c r="BH132" i="8" s="1"/>
  <c r="S132" i="8"/>
  <c r="BB132" i="8" s="1"/>
  <c r="R132" i="8"/>
  <c r="BA132" i="8" s="1"/>
  <c r="Q132" i="8"/>
  <c r="AZ132" i="8" s="1"/>
  <c r="K132" i="8"/>
  <c r="AT132" i="8" s="1"/>
  <c r="J132" i="8"/>
  <c r="AS132" i="8" s="1"/>
  <c r="I132" i="8"/>
  <c r="AR132" i="8" s="1"/>
  <c r="AI131" i="8"/>
  <c r="BR131" i="8" s="1"/>
  <c r="AH131" i="8"/>
  <c r="BQ131" i="8" s="1"/>
  <c r="AG131" i="8"/>
  <c r="BP131" i="8" s="1"/>
  <c r="AA131" i="8"/>
  <c r="BJ131" i="8" s="1"/>
  <c r="Z131" i="8"/>
  <c r="BI131" i="8" s="1"/>
  <c r="Y131" i="8"/>
  <c r="BH131" i="8" s="1"/>
  <c r="S131" i="8"/>
  <c r="BB131" i="8" s="1"/>
  <c r="R131" i="8"/>
  <c r="BA131" i="8" s="1"/>
  <c r="Q131" i="8"/>
  <c r="AZ131" i="8" s="1"/>
  <c r="K131" i="8"/>
  <c r="AT131" i="8" s="1"/>
  <c r="J131" i="8"/>
  <c r="AS131" i="8" s="1"/>
  <c r="I131" i="8"/>
  <c r="AR131" i="8" s="1"/>
  <c r="AI130" i="8"/>
  <c r="BR130" i="8" s="1"/>
  <c r="AH130" i="8"/>
  <c r="BQ130" i="8" s="1"/>
  <c r="AG130" i="8"/>
  <c r="BP130" i="8" s="1"/>
  <c r="AA130" i="8"/>
  <c r="BJ130" i="8" s="1"/>
  <c r="Z130" i="8"/>
  <c r="BI130" i="8" s="1"/>
  <c r="Y130" i="8"/>
  <c r="BH130" i="8" s="1"/>
  <c r="S130" i="8"/>
  <c r="BB130" i="8" s="1"/>
  <c r="R130" i="8"/>
  <c r="BA130" i="8" s="1"/>
  <c r="Q130" i="8"/>
  <c r="AZ130" i="8" s="1"/>
  <c r="K130" i="8"/>
  <c r="AT130" i="8" s="1"/>
  <c r="J130" i="8"/>
  <c r="AS130" i="8" s="1"/>
  <c r="I130" i="8"/>
  <c r="AR130" i="8" s="1"/>
  <c r="AI129" i="8"/>
  <c r="BR129" i="8" s="1"/>
  <c r="AH129" i="8"/>
  <c r="BQ129" i="8" s="1"/>
  <c r="AG129" i="8"/>
  <c r="BP129" i="8" s="1"/>
  <c r="AA129" i="8"/>
  <c r="BJ129" i="8" s="1"/>
  <c r="Z129" i="8"/>
  <c r="BI129" i="8" s="1"/>
  <c r="Y129" i="8"/>
  <c r="BH129" i="8" s="1"/>
  <c r="S129" i="8"/>
  <c r="BB129" i="8" s="1"/>
  <c r="R129" i="8"/>
  <c r="BA129" i="8" s="1"/>
  <c r="Q129" i="8"/>
  <c r="AZ129" i="8" s="1"/>
  <c r="K129" i="8"/>
  <c r="AT129" i="8" s="1"/>
  <c r="J129" i="8"/>
  <c r="AS129" i="8" s="1"/>
  <c r="I129" i="8"/>
  <c r="AR129" i="8" s="1"/>
  <c r="AI128" i="8"/>
  <c r="BR128" i="8" s="1"/>
  <c r="AH128" i="8"/>
  <c r="BQ128" i="8" s="1"/>
  <c r="AG128" i="8"/>
  <c r="BP128" i="8" s="1"/>
  <c r="AA128" i="8"/>
  <c r="BJ128" i="8" s="1"/>
  <c r="Z128" i="8"/>
  <c r="BI128" i="8" s="1"/>
  <c r="Y128" i="8"/>
  <c r="BH128" i="8" s="1"/>
  <c r="S128" i="8"/>
  <c r="BB128" i="8" s="1"/>
  <c r="R128" i="8"/>
  <c r="BA128" i="8" s="1"/>
  <c r="Q128" i="8"/>
  <c r="AZ128" i="8" s="1"/>
  <c r="K128" i="8"/>
  <c r="AT128" i="8" s="1"/>
  <c r="J128" i="8"/>
  <c r="AS128" i="8" s="1"/>
  <c r="I128" i="8"/>
  <c r="AR128" i="8" s="1"/>
  <c r="AI127" i="8"/>
  <c r="BR127" i="8" s="1"/>
  <c r="AH127" i="8"/>
  <c r="BQ127" i="8" s="1"/>
  <c r="AG127" i="8"/>
  <c r="BP127" i="8" s="1"/>
  <c r="AA127" i="8"/>
  <c r="BJ127" i="8" s="1"/>
  <c r="Z127" i="8"/>
  <c r="BI127" i="8" s="1"/>
  <c r="Y127" i="8"/>
  <c r="BH127" i="8" s="1"/>
  <c r="S127" i="8"/>
  <c r="BB127" i="8" s="1"/>
  <c r="R127" i="8"/>
  <c r="BA127" i="8" s="1"/>
  <c r="Q127" i="8"/>
  <c r="AZ127" i="8" s="1"/>
  <c r="K127" i="8"/>
  <c r="AT127" i="8" s="1"/>
  <c r="J127" i="8"/>
  <c r="AS127" i="8" s="1"/>
  <c r="I127" i="8"/>
  <c r="AR127" i="8" s="1"/>
  <c r="AI126" i="8"/>
  <c r="BR126" i="8" s="1"/>
  <c r="AH126" i="8"/>
  <c r="BQ126" i="8" s="1"/>
  <c r="AG126" i="8"/>
  <c r="BP126" i="8" s="1"/>
  <c r="AA126" i="8"/>
  <c r="BJ126" i="8" s="1"/>
  <c r="Z126" i="8"/>
  <c r="BI126" i="8" s="1"/>
  <c r="Y126" i="8"/>
  <c r="BH126" i="8" s="1"/>
  <c r="S126" i="8"/>
  <c r="BB126" i="8" s="1"/>
  <c r="R126" i="8"/>
  <c r="BA126" i="8" s="1"/>
  <c r="Q126" i="8"/>
  <c r="AZ126" i="8" s="1"/>
  <c r="K126" i="8"/>
  <c r="AT126" i="8" s="1"/>
  <c r="J126" i="8"/>
  <c r="AS126" i="8" s="1"/>
  <c r="I126" i="8"/>
  <c r="AR126" i="8" s="1"/>
  <c r="AI125" i="8"/>
  <c r="BR125" i="8" s="1"/>
  <c r="AH125" i="8"/>
  <c r="BQ125" i="8" s="1"/>
  <c r="AG125" i="8"/>
  <c r="BP125" i="8" s="1"/>
  <c r="AA125" i="8"/>
  <c r="BJ125" i="8" s="1"/>
  <c r="Z125" i="8"/>
  <c r="BI125" i="8" s="1"/>
  <c r="Y125" i="8"/>
  <c r="BH125" i="8" s="1"/>
  <c r="S125" i="8"/>
  <c r="BB125" i="8" s="1"/>
  <c r="R125" i="8"/>
  <c r="BA125" i="8" s="1"/>
  <c r="Q125" i="8"/>
  <c r="AZ125" i="8" s="1"/>
  <c r="K125" i="8"/>
  <c r="AT125" i="8" s="1"/>
  <c r="J125" i="8"/>
  <c r="AS125" i="8" s="1"/>
  <c r="I125" i="8"/>
  <c r="AR125" i="8" s="1"/>
  <c r="AI124" i="8"/>
  <c r="BR124" i="8" s="1"/>
  <c r="AH124" i="8"/>
  <c r="BQ124" i="8" s="1"/>
  <c r="AG124" i="8"/>
  <c r="BP124" i="8" s="1"/>
  <c r="AA124" i="8"/>
  <c r="BJ124" i="8" s="1"/>
  <c r="Z124" i="8"/>
  <c r="BI124" i="8" s="1"/>
  <c r="Y124" i="8"/>
  <c r="BH124" i="8" s="1"/>
  <c r="S124" i="8"/>
  <c r="BB124" i="8" s="1"/>
  <c r="R124" i="8"/>
  <c r="BA124" i="8" s="1"/>
  <c r="Q124" i="8"/>
  <c r="AZ124" i="8" s="1"/>
  <c r="K124" i="8"/>
  <c r="AT124" i="8" s="1"/>
  <c r="J124" i="8"/>
  <c r="AS124" i="8" s="1"/>
  <c r="I124" i="8"/>
  <c r="AR124" i="8" s="1"/>
  <c r="AI123" i="8"/>
  <c r="BR123" i="8" s="1"/>
  <c r="AH123" i="8"/>
  <c r="BQ123" i="8" s="1"/>
  <c r="AG123" i="8"/>
  <c r="BP123" i="8" s="1"/>
  <c r="AA123" i="8"/>
  <c r="BJ123" i="8" s="1"/>
  <c r="Z123" i="8"/>
  <c r="BI123" i="8" s="1"/>
  <c r="Y123" i="8"/>
  <c r="BH123" i="8" s="1"/>
  <c r="S123" i="8"/>
  <c r="BB123" i="8" s="1"/>
  <c r="R123" i="8"/>
  <c r="BA123" i="8" s="1"/>
  <c r="Q123" i="8"/>
  <c r="AZ123" i="8" s="1"/>
  <c r="K123" i="8"/>
  <c r="AT123" i="8" s="1"/>
  <c r="J123" i="8"/>
  <c r="AS123" i="8" s="1"/>
  <c r="I123" i="8"/>
  <c r="AR123" i="8" s="1"/>
  <c r="AI122" i="8"/>
  <c r="BR122" i="8" s="1"/>
  <c r="AH122" i="8"/>
  <c r="BQ122" i="8" s="1"/>
  <c r="AG122" i="8"/>
  <c r="BP122" i="8" s="1"/>
  <c r="AA122" i="8"/>
  <c r="BJ122" i="8" s="1"/>
  <c r="Z122" i="8"/>
  <c r="BI122" i="8" s="1"/>
  <c r="Y122" i="8"/>
  <c r="BH122" i="8" s="1"/>
  <c r="S122" i="8"/>
  <c r="BB122" i="8" s="1"/>
  <c r="R122" i="8"/>
  <c r="BA122" i="8" s="1"/>
  <c r="Q122" i="8"/>
  <c r="AZ122" i="8" s="1"/>
  <c r="K122" i="8"/>
  <c r="AT122" i="8" s="1"/>
  <c r="J122" i="8"/>
  <c r="AS122" i="8" s="1"/>
  <c r="I122" i="8"/>
  <c r="AR122" i="8" s="1"/>
  <c r="AI121" i="8"/>
  <c r="BR121" i="8" s="1"/>
  <c r="AH121" i="8"/>
  <c r="BQ121" i="8" s="1"/>
  <c r="AG121" i="8"/>
  <c r="BP121" i="8" s="1"/>
  <c r="AA121" i="8"/>
  <c r="BJ121" i="8" s="1"/>
  <c r="Z121" i="8"/>
  <c r="BI121" i="8" s="1"/>
  <c r="Y121" i="8"/>
  <c r="BH121" i="8" s="1"/>
  <c r="S121" i="8"/>
  <c r="BB121" i="8" s="1"/>
  <c r="R121" i="8"/>
  <c r="BA121" i="8" s="1"/>
  <c r="Q121" i="8"/>
  <c r="AZ121" i="8" s="1"/>
  <c r="K121" i="8"/>
  <c r="AT121" i="8" s="1"/>
  <c r="J121" i="8"/>
  <c r="AS121" i="8" s="1"/>
  <c r="I121" i="8"/>
  <c r="AR121" i="8" s="1"/>
  <c r="AI120" i="8"/>
  <c r="BR120" i="8" s="1"/>
  <c r="AH120" i="8"/>
  <c r="BQ120" i="8" s="1"/>
  <c r="AG120" i="8"/>
  <c r="BP120" i="8" s="1"/>
  <c r="AA120" i="8"/>
  <c r="BJ120" i="8" s="1"/>
  <c r="Z120" i="8"/>
  <c r="BI120" i="8" s="1"/>
  <c r="Y120" i="8"/>
  <c r="BH120" i="8" s="1"/>
  <c r="S120" i="8"/>
  <c r="BB120" i="8" s="1"/>
  <c r="R120" i="8"/>
  <c r="BA120" i="8" s="1"/>
  <c r="Q120" i="8"/>
  <c r="AZ120" i="8" s="1"/>
  <c r="K120" i="8"/>
  <c r="AT120" i="8" s="1"/>
  <c r="J120" i="8"/>
  <c r="AS120" i="8" s="1"/>
  <c r="I120" i="8"/>
  <c r="AR120" i="8" s="1"/>
  <c r="AI119" i="8"/>
  <c r="BR119" i="8" s="1"/>
  <c r="AH119" i="8"/>
  <c r="BQ119" i="8" s="1"/>
  <c r="AG119" i="8"/>
  <c r="BP119" i="8" s="1"/>
  <c r="AA119" i="8"/>
  <c r="BJ119" i="8" s="1"/>
  <c r="Z119" i="8"/>
  <c r="BI119" i="8" s="1"/>
  <c r="Y119" i="8"/>
  <c r="BH119" i="8" s="1"/>
  <c r="S119" i="8"/>
  <c r="BB119" i="8" s="1"/>
  <c r="R119" i="8"/>
  <c r="BA119" i="8" s="1"/>
  <c r="Q119" i="8"/>
  <c r="AZ119" i="8" s="1"/>
  <c r="K119" i="8"/>
  <c r="AT119" i="8" s="1"/>
  <c r="J119" i="8"/>
  <c r="AS119" i="8" s="1"/>
  <c r="I119" i="8"/>
  <c r="AR119" i="8" s="1"/>
  <c r="AI118" i="8"/>
  <c r="BR118" i="8" s="1"/>
  <c r="AH118" i="8"/>
  <c r="BQ118" i="8" s="1"/>
  <c r="AG118" i="8"/>
  <c r="BP118" i="8" s="1"/>
  <c r="AA118" i="8"/>
  <c r="BJ118" i="8" s="1"/>
  <c r="Z118" i="8"/>
  <c r="BI118" i="8" s="1"/>
  <c r="Y118" i="8"/>
  <c r="BH118" i="8" s="1"/>
  <c r="S118" i="8"/>
  <c r="BB118" i="8" s="1"/>
  <c r="R118" i="8"/>
  <c r="BA118" i="8" s="1"/>
  <c r="Q118" i="8"/>
  <c r="AZ118" i="8" s="1"/>
  <c r="K118" i="8"/>
  <c r="AT118" i="8" s="1"/>
  <c r="J118" i="8"/>
  <c r="AS118" i="8" s="1"/>
  <c r="I118" i="8"/>
  <c r="AR118" i="8" s="1"/>
  <c r="AI117" i="8"/>
  <c r="BR117" i="8" s="1"/>
  <c r="AH117" i="8"/>
  <c r="BQ117" i="8" s="1"/>
  <c r="AG117" i="8"/>
  <c r="BP117" i="8" s="1"/>
  <c r="AA117" i="8"/>
  <c r="BJ117" i="8" s="1"/>
  <c r="Z117" i="8"/>
  <c r="BI117" i="8" s="1"/>
  <c r="Y117" i="8"/>
  <c r="BH117" i="8" s="1"/>
  <c r="S117" i="8"/>
  <c r="BB117" i="8" s="1"/>
  <c r="R117" i="8"/>
  <c r="BA117" i="8" s="1"/>
  <c r="Q117" i="8"/>
  <c r="AZ117" i="8" s="1"/>
  <c r="K117" i="8"/>
  <c r="AT117" i="8" s="1"/>
  <c r="J117" i="8"/>
  <c r="AS117" i="8" s="1"/>
  <c r="I117" i="8"/>
  <c r="AR117" i="8" s="1"/>
  <c r="AI107" i="8"/>
  <c r="AH107" i="8"/>
  <c r="AG107" i="8"/>
  <c r="BP107" i="8" s="1"/>
  <c r="BP108" i="8" s="1"/>
  <c r="AF108" i="8"/>
  <c r="J27" i="10" s="1"/>
  <c r="AC108" i="8"/>
  <c r="J9" i="10" s="1"/>
  <c r="AA107" i="8"/>
  <c r="Z107" i="8"/>
  <c r="Y107" i="8"/>
  <c r="S107" i="8"/>
  <c r="R107" i="8"/>
  <c r="Q107" i="8"/>
  <c r="P108" i="8"/>
  <c r="H27" i="10" s="1"/>
  <c r="M108" i="8"/>
  <c r="H9" i="10" s="1"/>
  <c r="K107" i="8"/>
  <c r="J107" i="8"/>
  <c r="I107" i="8"/>
  <c r="G108" i="8"/>
  <c r="G21" i="10" s="1"/>
  <c r="E108" i="8"/>
  <c r="G9" i="10" s="1"/>
  <c r="AI116" i="8"/>
  <c r="BR116" i="8" s="1"/>
  <c r="AH116" i="8"/>
  <c r="BQ116" i="8" s="1"/>
  <c r="AG116" i="8"/>
  <c r="BP116" i="8" s="1"/>
  <c r="AA116" i="8"/>
  <c r="BJ116" i="8" s="1"/>
  <c r="Z116" i="8"/>
  <c r="BI116" i="8" s="1"/>
  <c r="Y116" i="8"/>
  <c r="BH116" i="8" s="1"/>
  <c r="S116" i="8"/>
  <c r="BB116" i="8" s="1"/>
  <c r="R116" i="8"/>
  <c r="BA116" i="8" s="1"/>
  <c r="Q116" i="8"/>
  <c r="AZ116" i="8" s="1"/>
  <c r="K116" i="8"/>
  <c r="AT116" i="8" s="1"/>
  <c r="J116" i="8"/>
  <c r="AS116" i="8" s="1"/>
  <c r="I116" i="8"/>
  <c r="AR116" i="8" s="1"/>
  <c r="AI115" i="8"/>
  <c r="BR115" i="8" s="1"/>
  <c r="AH115" i="8"/>
  <c r="BQ115" i="8" s="1"/>
  <c r="AG115" i="8"/>
  <c r="BP115" i="8" s="1"/>
  <c r="AA115" i="8"/>
  <c r="BJ115" i="8" s="1"/>
  <c r="Z115" i="8"/>
  <c r="BI115" i="8" s="1"/>
  <c r="Y115" i="8"/>
  <c r="BH115" i="8" s="1"/>
  <c r="S115" i="8"/>
  <c r="BB115" i="8" s="1"/>
  <c r="R115" i="8"/>
  <c r="BA115" i="8" s="1"/>
  <c r="Q115" i="8"/>
  <c r="AZ115" i="8" s="1"/>
  <c r="K115" i="8"/>
  <c r="AT115" i="8" s="1"/>
  <c r="J115" i="8"/>
  <c r="AS115" i="8" s="1"/>
  <c r="I115" i="8"/>
  <c r="AR115" i="8" s="1"/>
  <c r="AI114" i="8"/>
  <c r="BR114" i="8" s="1"/>
  <c r="AH114" i="8"/>
  <c r="BQ114" i="8" s="1"/>
  <c r="AG114" i="8"/>
  <c r="BP114" i="8" s="1"/>
  <c r="AA114" i="8"/>
  <c r="BJ114" i="8" s="1"/>
  <c r="Z114" i="8"/>
  <c r="BI114" i="8" s="1"/>
  <c r="Y114" i="8"/>
  <c r="BH114" i="8" s="1"/>
  <c r="S114" i="8"/>
  <c r="BB114" i="8" s="1"/>
  <c r="R114" i="8"/>
  <c r="BA114" i="8" s="1"/>
  <c r="Q114" i="8"/>
  <c r="AZ114" i="8" s="1"/>
  <c r="K114" i="8"/>
  <c r="AT114" i="8" s="1"/>
  <c r="J114" i="8"/>
  <c r="AS114" i="8" s="1"/>
  <c r="I114" i="8"/>
  <c r="AR114" i="8" s="1"/>
  <c r="AI113" i="8"/>
  <c r="BR113" i="8" s="1"/>
  <c r="AH113" i="8"/>
  <c r="BQ113" i="8" s="1"/>
  <c r="AG113" i="8"/>
  <c r="BP113" i="8" s="1"/>
  <c r="AA113" i="8"/>
  <c r="BJ113" i="8" s="1"/>
  <c r="Z113" i="8"/>
  <c r="BI113" i="8" s="1"/>
  <c r="Y113" i="8"/>
  <c r="BH113" i="8" s="1"/>
  <c r="S113" i="8"/>
  <c r="BB113" i="8" s="1"/>
  <c r="R113" i="8"/>
  <c r="BA113" i="8" s="1"/>
  <c r="Q113" i="8"/>
  <c r="AZ113" i="8" s="1"/>
  <c r="K113" i="8"/>
  <c r="AT113" i="8" s="1"/>
  <c r="J113" i="8"/>
  <c r="AS113" i="8" s="1"/>
  <c r="I113" i="8"/>
  <c r="AR113" i="8" s="1"/>
  <c r="AI112" i="8"/>
  <c r="BR112" i="8" s="1"/>
  <c r="AH112" i="8"/>
  <c r="BQ112" i="8" s="1"/>
  <c r="AG112" i="8"/>
  <c r="BP112" i="8" s="1"/>
  <c r="AA112" i="8"/>
  <c r="BJ112" i="8" s="1"/>
  <c r="Z112" i="8"/>
  <c r="BI112" i="8" s="1"/>
  <c r="Y112" i="8"/>
  <c r="BH112" i="8" s="1"/>
  <c r="S112" i="8"/>
  <c r="BB112" i="8" s="1"/>
  <c r="R112" i="8"/>
  <c r="BA112" i="8" s="1"/>
  <c r="Q112" i="8"/>
  <c r="AZ112" i="8" s="1"/>
  <c r="K112" i="8"/>
  <c r="AT112" i="8" s="1"/>
  <c r="J112" i="8"/>
  <c r="AS112" i="8" s="1"/>
  <c r="I112" i="8"/>
  <c r="AR112" i="8" s="1"/>
  <c r="AI111" i="8"/>
  <c r="BR111" i="8" s="1"/>
  <c r="AH111" i="8"/>
  <c r="BQ111" i="8" s="1"/>
  <c r="AG111" i="8"/>
  <c r="BP111" i="8" s="1"/>
  <c r="AA111" i="8"/>
  <c r="BJ111" i="8" s="1"/>
  <c r="Z111" i="8"/>
  <c r="BI111" i="8" s="1"/>
  <c r="Y111" i="8"/>
  <c r="BH111" i="8" s="1"/>
  <c r="S111" i="8"/>
  <c r="BB111" i="8" s="1"/>
  <c r="R111" i="8"/>
  <c r="BA111" i="8" s="1"/>
  <c r="Q111" i="8"/>
  <c r="AZ111" i="8" s="1"/>
  <c r="K111" i="8"/>
  <c r="AT111" i="8" s="1"/>
  <c r="J111" i="8"/>
  <c r="AS111" i="8" s="1"/>
  <c r="I111" i="8"/>
  <c r="AR111" i="8" s="1"/>
  <c r="AI110" i="8"/>
  <c r="BR110" i="8" s="1"/>
  <c r="AH110" i="8"/>
  <c r="BQ110" i="8" s="1"/>
  <c r="AG110" i="8"/>
  <c r="BP110" i="8" s="1"/>
  <c r="AA110" i="8"/>
  <c r="BJ110" i="8" s="1"/>
  <c r="Z110" i="8"/>
  <c r="BI110" i="8" s="1"/>
  <c r="Y110" i="8"/>
  <c r="BH110" i="8" s="1"/>
  <c r="S110" i="8"/>
  <c r="BB110" i="8" s="1"/>
  <c r="R110" i="8"/>
  <c r="BA110" i="8" s="1"/>
  <c r="Q110" i="8"/>
  <c r="AZ110" i="8" s="1"/>
  <c r="K110" i="8"/>
  <c r="AT110" i="8" s="1"/>
  <c r="J110" i="8"/>
  <c r="AS110" i="8" s="1"/>
  <c r="I110" i="8"/>
  <c r="AR110" i="8" s="1"/>
  <c r="AI109" i="8"/>
  <c r="AH109" i="8"/>
  <c r="AG109" i="8"/>
  <c r="AA109" i="8"/>
  <c r="Z109" i="8"/>
  <c r="Y109" i="8"/>
  <c r="S109" i="8"/>
  <c r="R109" i="8"/>
  <c r="Q109" i="8"/>
  <c r="K109" i="8"/>
  <c r="J109" i="8"/>
  <c r="I109" i="8"/>
  <c r="AI105" i="8"/>
  <c r="BR105" i="8" s="1"/>
  <c r="AH105" i="8"/>
  <c r="BQ105" i="8" s="1"/>
  <c r="AG105" i="8"/>
  <c r="BP105" i="8" s="1"/>
  <c r="AA105" i="8"/>
  <c r="BJ105" i="8" s="1"/>
  <c r="Z105" i="8"/>
  <c r="BI105" i="8" s="1"/>
  <c r="Y105" i="8"/>
  <c r="BH105" i="8" s="1"/>
  <c r="S105" i="8"/>
  <c r="BB105" i="8" s="1"/>
  <c r="R105" i="8"/>
  <c r="BA105" i="8" s="1"/>
  <c r="Q105" i="8"/>
  <c r="AZ105" i="8" s="1"/>
  <c r="K105" i="8"/>
  <c r="AT105" i="8" s="1"/>
  <c r="J105" i="8"/>
  <c r="AS105" i="8" s="1"/>
  <c r="I105" i="8"/>
  <c r="AR105" i="8" s="1"/>
  <c r="AI104" i="8"/>
  <c r="BR104" i="8" s="1"/>
  <c r="AH104" i="8"/>
  <c r="BQ104" i="8" s="1"/>
  <c r="AG104" i="8"/>
  <c r="BP104" i="8" s="1"/>
  <c r="AA104" i="8"/>
  <c r="BJ104" i="8" s="1"/>
  <c r="Z104" i="8"/>
  <c r="BI104" i="8" s="1"/>
  <c r="Y104" i="8"/>
  <c r="BH104" i="8" s="1"/>
  <c r="S104" i="8"/>
  <c r="BB104" i="8" s="1"/>
  <c r="R104" i="8"/>
  <c r="BA104" i="8" s="1"/>
  <c r="Q104" i="8"/>
  <c r="AZ104" i="8" s="1"/>
  <c r="K104" i="8"/>
  <c r="AT104" i="8" s="1"/>
  <c r="J104" i="8"/>
  <c r="AS104" i="8" s="1"/>
  <c r="I104" i="8"/>
  <c r="AR104" i="8" s="1"/>
  <c r="AI103" i="8"/>
  <c r="BR103" i="8" s="1"/>
  <c r="AH103" i="8"/>
  <c r="BQ103" i="8" s="1"/>
  <c r="AG103" i="8"/>
  <c r="BP103" i="8" s="1"/>
  <c r="AA103" i="8"/>
  <c r="BJ103" i="8" s="1"/>
  <c r="Z103" i="8"/>
  <c r="BI103" i="8" s="1"/>
  <c r="Y103" i="8"/>
  <c r="BH103" i="8" s="1"/>
  <c r="S103" i="8"/>
  <c r="BB103" i="8" s="1"/>
  <c r="R103" i="8"/>
  <c r="BA103" i="8" s="1"/>
  <c r="Q103" i="8"/>
  <c r="AZ103" i="8" s="1"/>
  <c r="K103" i="8"/>
  <c r="AT103" i="8" s="1"/>
  <c r="J103" i="8"/>
  <c r="AS103" i="8" s="1"/>
  <c r="I103" i="8"/>
  <c r="AR103" i="8" s="1"/>
  <c r="AI102" i="8"/>
  <c r="BR102" i="8" s="1"/>
  <c r="AH102" i="8"/>
  <c r="BQ102" i="8" s="1"/>
  <c r="AG102" i="8"/>
  <c r="BP102" i="8" s="1"/>
  <c r="AA102" i="8"/>
  <c r="BJ102" i="8" s="1"/>
  <c r="Z102" i="8"/>
  <c r="BI102" i="8" s="1"/>
  <c r="Y102" i="8"/>
  <c r="BH102" i="8" s="1"/>
  <c r="S102" i="8"/>
  <c r="BB102" i="8" s="1"/>
  <c r="R102" i="8"/>
  <c r="BA102" i="8" s="1"/>
  <c r="Q102" i="8"/>
  <c r="AZ102" i="8" s="1"/>
  <c r="K102" i="8"/>
  <c r="AT102" i="8" s="1"/>
  <c r="J102" i="8"/>
  <c r="AS102" i="8" s="1"/>
  <c r="I102" i="8"/>
  <c r="AR102" i="8" s="1"/>
  <c r="AI101" i="8"/>
  <c r="BR101" i="8" s="1"/>
  <c r="AH101" i="8"/>
  <c r="BQ101" i="8" s="1"/>
  <c r="AG101" i="8"/>
  <c r="BP101" i="8" s="1"/>
  <c r="AA101" i="8"/>
  <c r="BJ101" i="8" s="1"/>
  <c r="Z101" i="8"/>
  <c r="BI101" i="8" s="1"/>
  <c r="Y101" i="8"/>
  <c r="BH101" i="8" s="1"/>
  <c r="S101" i="8"/>
  <c r="BB101" i="8" s="1"/>
  <c r="R101" i="8"/>
  <c r="BA101" i="8" s="1"/>
  <c r="Q101" i="8"/>
  <c r="AZ101" i="8" s="1"/>
  <c r="K101" i="8"/>
  <c r="AT101" i="8" s="1"/>
  <c r="J101" i="8"/>
  <c r="AS101" i="8" s="1"/>
  <c r="I101" i="8"/>
  <c r="AR101" i="8" s="1"/>
  <c r="AI100" i="8"/>
  <c r="BR100" i="8" s="1"/>
  <c r="AH100" i="8"/>
  <c r="BQ100" i="8" s="1"/>
  <c r="AG100" i="8"/>
  <c r="BP100" i="8" s="1"/>
  <c r="AA100" i="8"/>
  <c r="BJ100" i="8" s="1"/>
  <c r="Z100" i="8"/>
  <c r="BI100" i="8" s="1"/>
  <c r="Y100" i="8"/>
  <c r="BH100" i="8" s="1"/>
  <c r="S100" i="8"/>
  <c r="BB100" i="8" s="1"/>
  <c r="R100" i="8"/>
  <c r="BA100" i="8" s="1"/>
  <c r="Q100" i="8"/>
  <c r="AZ100" i="8" s="1"/>
  <c r="K100" i="8"/>
  <c r="AT100" i="8" s="1"/>
  <c r="J100" i="8"/>
  <c r="AS100" i="8" s="1"/>
  <c r="I100" i="8"/>
  <c r="AR100" i="8" s="1"/>
  <c r="AI99" i="8"/>
  <c r="BR99" i="8" s="1"/>
  <c r="AH99" i="8"/>
  <c r="BQ99" i="8" s="1"/>
  <c r="AG99" i="8"/>
  <c r="BP99" i="8" s="1"/>
  <c r="AA99" i="8"/>
  <c r="BJ99" i="8" s="1"/>
  <c r="Z99" i="8"/>
  <c r="BI99" i="8" s="1"/>
  <c r="Y99" i="8"/>
  <c r="BH99" i="8" s="1"/>
  <c r="S99" i="8"/>
  <c r="BB99" i="8" s="1"/>
  <c r="R99" i="8"/>
  <c r="BA99" i="8" s="1"/>
  <c r="Q99" i="8"/>
  <c r="AZ99" i="8" s="1"/>
  <c r="K99" i="8"/>
  <c r="AT99" i="8" s="1"/>
  <c r="J99" i="8"/>
  <c r="AS99" i="8" s="1"/>
  <c r="I99" i="8"/>
  <c r="AR99" i="8" s="1"/>
  <c r="AI98" i="8"/>
  <c r="BR98" i="8" s="1"/>
  <c r="AH98" i="8"/>
  <c r="BQ98" i="8" s="1"/>
  <c r="AG98" i="8"/>
  <c r="BP98" i="8" s="1"/>
  <c r="AA98" i="8"/>
  <c r="BJ98" i="8" s="1"/>
  <c r="Z98" i="8"/>
  <c r="BI98" i="8" s="1"/>
  <c r="Y98" i="8"/>
  <c r="BH98" i="8" s="1"/>
  <c r="S98" i="8"/>
  <c r="BB98" i="8" s="1"/>
  <c r="R98" i="8"/>
  <c r="BA98" i="8" s="1"/>
  <c r="Q98" i="8"/>
  <c r="AZ98" i="8" s="1"/>
  <c r="K98" i="8"/>
  <c r="AT98" i="8" s="1"/>
  <c r="J98" i="8"/>
  <c r="AS98" i="8" s="1"/>
  <c r="I98" i="8"/>
  <c r="AR98" i="8" s="1"/>
  <c r="AI97" i="8"/>
  <c r="BR97" i="8" s="1"/>
  <c r="AH97" i="8"/>
  <c r="BQ97" i="8" s="1"/>
  <c r="AG97" i="8"/>
  <c r="BP97" i="8" s="1"/>
  <c r="AA97" i="8"/>
  <c r="BJ97" i="8" s="1"/>
  <c r="Z97" i="8"/>
  <c r="BI97" i="8" s="1"/>
  <c r="Y97" i="8"/>
  <c r="BH97" i="8" s="1"/>
  <c r="S97" i="8"/>
  <c r="BB97" i="8" s="1"/>
  <c r="R97" i="8"/>
  <c r="BA97" i="8" s="1"/>
  <c r="Q97" i="8"/>
  <c r="AZ97" i="8" s="1"/>
  <c r="K97" i="8"/>
  <c r="AT97" i="8" s="1"/>
  <c r="J97" i="8"/>
  <c r="AS97" i="8" s="1"/>
  <c r="I97" i="8"/>
  <c r="AR97" i="8" s="1"/>
  <c r="AI96" i="8"/>
  <c r="BR96" i="8" s="1"/>
  <c r="AH96" i="8"/>
  <c r="BQ96" i="8" s="1"/>
  <c r="AG96" i="8"/>
  <c r="BP96" i="8" s="1"/>
  <c r="AA96" i="8"/>
  <c r="BJ96" i="8" s="1"/>
  <c r="Z96" i="8"/>
  <c r="BI96" i="8" s="1"/>
  <c r="Y96" i="8"/>
  <c r="BH96" i="8" s="1"/>
  <c r="S96" i="8"/>
  <c r="BB96" i="8" s="1"/>
  <c r="R96" i="8"/>
  <c r="BA96" i="8" s="1"/>
  <c r="Q96" i="8"/>
  <c r="AZ96" i="8" s="1"/>
  <c r="K96" i="8"/>
  <c r="AT96" i="8" s="1"/>
  <c r="J96" i="8"/>
  <c r="AS96" i="8" s="1"/>
  <c r="I96" i="8"/>
  <c r="AR96" i="8" s="1"/>
  <c r="AI95" i="8"/>
  <c r="BR95" i="8" s="1"/>
  <c r="AH95" i="8"/>
  <c r="BQ95" i="8" s="1"/>
  <c r="AG95" i="8"/>
  <c r="BP95" i="8" s="1"/>
  <c r="AA95" i="8"/>
  <c r="BJ95" i="8" s="1"/>
  <c r="Z95" i="8"/>
  <c r="BI95" i="8" s="1"/>
  <c r="Y95" i="8"/>
  <c r="BH95" i="8" s="1"/>
  <c r="S95" i="8"/>
  <c r="BB95" i="8" s="1"/>
  <c r="R95" i="8"/>
  <c r="BA95" i="8" s="1"/>
  <c r="Q95" i="8"/>
  <c r="AZ95" i="8" s="1"/>
  <c r="K95" i="8"/>
  <c r="AT95" i="8" s="1"/>
  <c r="J95" i="8"/>
  <c r="AS95" i="8" s="1"/>
  <c r="I95" i="8"/>
  <c r="AR95" i="8" s="1"/>
  <c r="AI94" i="8"/>
  <c r="BR94" i="8" s="1"/>
  <c r="AH94" i="8"/>
  <c r="BQ94" i="8" s="1"/>
  <c r="AG94" i="8"/>
  <c r="BP94" i="8" s="1"/>
  <c r="AA94" i="8"/>
  <c r="BJ94" i="8" s="1"/>
  <c r="Z94" i="8"/>
  <c r="BI94" i="8" s="1"/>
  <c r="Y94" i="8"/>
  <c r="BH94" i="8" s="1"/>
  <c r="S94" i="8"/>
  <c r="BB94" i="8" s="1"/>
  <c r="R94" i="8"/>
  <c r="BA94" i="8" s="1"/>
  <c r="Q94" i="8"/>
  <c r="AZ94" i="8" s="1"/>
  <c r="K94" i="8"/>
  <c r="AT94" i="8" s="1"/>
  <c r="J94" i="8"/>
  <c r="AS94" i="8" s="1"/>
  <c r="I94" i="8"/>
  <c r="AR94" i="8" s="1"/>
  <c r="AI93" i="8"/>
  <c r="BR93" i="8" s="1"/>
  <c r="AH93" i="8"/>
  <c r="BQ93" i="8" s="1"/>
  <c r="AG93" i="8"/>
  <c r="BP93" i="8" s="1"/>
  <c r="AA93" i="8"/>
  <c r="BJ93" i="8" s="1"/>
  <c r="Z93" i="8"/>
  <c r="BI93" i="8" s="1"/>
  <c r="Y93" i="8"/>
  <c r="BH93" i="8" s="1"/>
  <c r="S93" i="8"/>
  <c r="BB93" i="8" s="1"/>
  <c r="R93" i="8"/>
  <c r="BA93" i="8" s="1"/>
  <c r="Q93" i="8"/>
  <c r="AZ93" i="8" s="1"/>
  <c r="K93" i="8"/>
  <c r="AT93" i="8" s="1"/>
  <c r="J93" i="8"/>
  <c r="AS93" i="8" s="1"/>
  <c r="I93" i="8"/>
  <c r="AR93" i="8" s="1"/>
  <c r="AI92" i="8"/>
  <c r="BR92" i="8" s="1"/>
  <c r="AH92" i="8"/>
  <c r="BQ92" i="8" s="1"/>
  <c r="AG92" i="8"/>
  <c r="BP92" i="8" s="1"/>
  <c r="AA92" i="8"/>
  <c r="BJ92" i="8" s="1"/>
  <c r="Z92" i="8"/>
  <c r="BI92" i="8" s="1"/>
  <c r="Y92" i="8"/>
  <c r="BH92" i="8" s="1"/>
  <c r="S92" i="8"/>
  <c r="BB92" i="8" s="1"/>
  <c r="R92" i="8"/>
  <c r="BA92" i="8" s="1"/>
  <c r="Q92" i="8"/>
  <c r="AZ92" i="8" s="1"/>
  <c r="K92" i="8"/>
  <c r="AT92" i="8" s="1"/>
  <c r="J92" i="8"/>
  <c r="AS92" i="8" s="1"/>
  <c r="I92" i="8"/>
  <c r="AR92" i="8" s="1"/>
  <c r="AI91" i="8"/>
  <c r="BR91" i="8" s="1"/>
  <c r="AH91" i="8"/>
  <c r="BQ91" i="8" s="1"/>
  <c r="AG91" i="8"/>
  <c r="BP91" i="8" s="1"/>
  <c r="AA91" i="8"/>
  <c r="BJ91" i="8" s="1"/>
  <c r="Z91" i="8"/>
  <c r="BI91" i="8" s="1"/>
  <c r="Y91" i="8"/>
  <c r="BH91" i="8" s="1"/>
  <c r="S91" i="8"/>
  <c r="BB91" i="8" s="1"/>
  <c r="R91" i="8"/>
  <c r="BA91" i="8" s="1"/>
  <c r="Q91" i="8"/>
  <c r="AZ91" i="8" s="1"/>
  <c r="K91" i="8"/>
  <c r="AT91" i="8" s="1"/>
  <c r="J91" i="8"/>
  <c r="AS91" i="8" s="1"/>
  <c r="I91" i="8"/>
  <c r="AR91" i="8" s="1"/>
  <c r="AI90" i="8"/>
  <c r="BR90" i="8" s="1"/>
  <c r="AH90" i="8"/>
  <c r="BQ90" i="8" s="1"/>
  <c r="AG90" i="8"/>
  <c r="BP90" i="8" s="1"/>
  <c r="AA90" i="8"/>
  <c r="BJ90" i="8" s="1"/>
  <c r="Z90" i="8"/>
  <c r="BI90" i="8" s="1"/>
  <c r="Y90" i="8"/>
  <c r="BH90" i="8" s="1"/>
  <c r="S90" i="8"/>
  <c r="BB90" i="8" s="1"/>
  <c r="R90" i="8"/>
  <c r="BA90" i="8" s="1"/>
  <c r="Q90" i="8"/>
  <c r="AZ90" i="8" s="1"/>
  <c r="K90" i="8"/>
  <c r="AT90" i="8" s="1"/>
  <c r="J90" i="8"/>
  <c r="AS90" i="8" s="1"/>
  <c r="I90" i="8"/>
  <c r="AR90" i="8" s="1"/>
  <c r="AI89" i="8"/>
  <c r="BR89" i="8" s="1"/>
  <c r="AH89" i="8"/>
  <c r="BQ89" i="8" s="1"/>
  <c r="AG89" i="8"/>
  <c r="BP89" i="8" s="1"/>
  <c r="AA89" i="8"/>
  <c r="BJ89" i="8" s="1"/>
  <c r="Z89" i="8"/>
  <c r="BI89" i="8" s="1"/>
  <c r="Y89" i="8"/>
  <c r="BH89" i="8" s="1"/>
  <c r="S89" i="8"/>
  <c r="BB89" i="8" s="1"/>
  <c r="R89" i="8"/>
  <c r="BA89" i="8" s="1"/>
  <c r="Q89" i="8"/>
  <c r="AZ89" i="8" s="1"/>
  <c r="K89" i="8"/>
  <c r="AT89" i="8" s="1"/>
  <c r="J89" i="8"/>
  <c r="AS89" i="8" s="1"/>
  <c r="I89" i="8"/>
  <c r="AR89" i="8" s="1"/>
  <c r="AI88" i="8"/>
  <c r="BR88" i="8" s="1"/>
  <c r="AH88" i="8"/>
  <c r="BQ88" i="8" s="1"/>
  <c r="AG88" i="8"/>
  <c r="BP88" i="8" s="1"/>
  <c r="AA88" i="8"/>
  <c r="BJ88" i="8" s="1"/>
  <c r="Z88" i="8"/>
  <c r="BI88" i="8" s="1"/>
  <c r="Y88" i="8"/>
  <c r="BH88" i="8" s="1"/>
  <c r="S88" i="8"/>
  <c r="BB88" i="8" s="1"/>
  <c r="R88" i="8"/>
  <c r="BA88" i="8" s="1"/>
  <c r="Q88" i="8"/>
  <c r="AZ88" i="8" s="1"/>
  <c r="K88" i="8"/>
  <c r="AT88" i="8" s="1"/>
  <c r="J88" i="8"/>
  <c r="AS88" i="8" s="1"/>
  <c r="I88" i="8"/>
  <c r="AR88" i="8" s="1"/>
  <c r="AI87" i="8"/>
  <c r="BR87" i="8" s="1"/>
  <c r="AH87" i="8"/>
  <c r="BQ87" i="8" s="1"/>
  <c r="AG87" i="8"/>
  <c r="BP87" i="8" s="1"/>
  <c r="AA87" i="8"/>
  <c r="BJ87" i="8" s="1"/>
  <c r="Z87" i="8"/>
  <c r="BI87" i="8" s="1"/>
  <c r="Y87" i="8"/>
  <c r="BH87" i="8" s="1"/>
  <c r="S87" i="8"/>
  <c r="BB87" i="8" s="1"/>
  <c r="R87" i="8"/>
  <c r="BA87" i="8" s="1"/>
  <c r="Q87" i="8"/>
  <c r="AZ87" i="8" s="1"/>
  <c r="K87" i="8"/>
  <c r="AT87" i="8" s="1"/>
  <c r="J87" i="8"/>
  <c r="AS87" i="8" s="1"/>
  <c r="I87" i="8"/>
  <c r="AR87" i="8" s="1"/>
  <c r="AI86" i="8"/>
  <c r="BR86" i="8" s="1"/>
  <c r="AH86" i="8"/>
  <c r="BQ86" i="8" s="1"/>
  <c r="AG86" i="8"/>
  <c r="BP86" i="8" s="1"/>
  <c r="AA86" i="8"/>
  <c r="BJ86" i="8" s="1"/>
  <c r="Z86" i="8"/>
  <c r="BI86" i="8" s="1"/>
  <c r="Y86" i="8"/>
  <c r="BH86" i="8" s="1"/>
  <c r="S86" i="8"/>
  <c r="BB86" i="8" s="1"/>
  <c r="R86" i="8"/>
  <c r="BA86" i="8" s="1"/>
  <c r="Q86" i="8"/>
  <c r="AZ86" i="8" s="1"/>
  <c r="K86" i="8"/>
  <c r="AT86" i="8" s="1"/>
  <c r="J86" i="8"/>
  <c r="AS86" i="8" s="1"/>
  <c r="I86" i="8"/>
  <c r="AR86" i="8" s="1"/>
  <c r="AI85" i="8"/>
  <c r="BR85" i="8" s="1"/>
  <c r="AH85" i="8"/>
  <c r="BQ85" i="8" s="1"/>
  <c r="AG85" i="8"/>
  <c r="BP85" i="8" s="1"/>
  <c r="AA85" i="8"/>
  <c r="BJ85" i="8" s="1"/>
  <c r="Z85" i="8"/>
  <c r="BI85" i="8" s="1"/>
  <c r="Y85" i="8"/>
  <c r="BH85" i="8" s="1"/>
  <c r="S85" i="8"/>
  <c r="BB85" i="8" s="1"/>
  <c r="R85" i="8"/>
  <c r="BA85" i="8" s="1"/>
  <c r="Q85" i="8"/>
  <c r="AZ85" i="8" s="1"/>
  <c r="K85" i="8"/>
  <c r="AT85" i="8" s="1"/>
  <c r="J85" i="8"/>
  <c r="AS85" i="8" s="1"/>
  <c r="I85" i="8"/>
  <c r="AR85" i="8" s="1"/>
  <c r="AI84" i="8"/>
  <c r="BR84" i="8" s="1"/>
  <c r="AH84" i="8"/>
  <c r="BQ84" i="8" s="1"/>
  <c r="AG84" i="8"/>
  <c r="BP84" i="8" s="1"/>
  <c r="AA84" i="8"/>
  <c r="BJ84" i="8" s="1"/>
  <c r="Z84" i="8"/>
  <c r="BI84" i="8" s="1"/>
  <c r="Y84" i="8"/>
  <c r="BH84" i="8" s="1"/>
  <c r="S84" i="8"/>
  <c r="BB84" i="8" s="1"/>
  <c r="R84" i="8"/>
  <c r="BA84" i="8" s="1"/>
  <c r="Q84" i="8"/>
  <c r="AZ84" i="8" s="1"/>
  <c r="K84" i="8"/>
  <c r="AT84" i="8" s="1"/>
  <c r="J84" i="8"/>
  <c r="AS84" i="8" s="1"/>
  <c r="I84" i="8"/>
  <c r="AR84" i="8" s="1"/>
  <c r="AI83" i="8"/>
  <c r="BR83" i="8" s="1"/>
  <c r="AH83" i="8"/>
  <c r="BQ83" i="8" s="1"/>
  <c r="AG83" i="8"/>
  <c r="BP83" i="8" s="1"/>
  <c r="AA83" i="8"/>
  <c r="BJ83" i="8" s="1"/>
  <c r="Z83" i="8"/>
  <c r="BI83" i="8" s="1"/>
  <c r="Y83" i="8"/>
  <c r="BH83" i="8" s="1"/>
  <c r="S83" i="8"/>
  <c r="BB83" i="8" s="1"/>
  <c r="R83" i="8"/>
  <c r="BA83" i="8" s="1"/>
  <c r="Q83" i="8"/>
  <c r="AZ83" i="8" s="1"/>
  <c r="K83" i="8"/>
  <c r="AT83" i="8" s="1"/>
  <c r="J83" i="8"/>
  <c r="AS83" i="8" s="1"/>
  <c r="I83" i="8"/>
  <c r="AR83" i="8" s="1"/>
  <c r="AI82" i="8"/>
  <c r="BR82" i="8" s="1"/>
  <c r="AH82" i="8"/>
  <c r="BQ82" i="8" s="1"/>
  <c r="AG82" i="8"/>
  <c r="BP82" i="8" s="1"/>
  <c r="AA82" i="8"/>
  <c r="BJ82" i="8" s="1"/>
  <c r="Z82" i="8"/>
  <c r="BI82" i="8" s="1"/>
  <c r="Y82" i="8"/>
  <c r="BH82" i="8" s="1"/>
  <c r="S82" i="8"/>
  <c r="BB82" i="8" s="1"/>
  <c r="R82" i="8"/>
  <c r="BA82" i="8" s="1"/>
  <c r="Q82" i="8"/>
  <c r="AZ82" i="8" s="1"/>
  <c r="K82" i="8"/>
  <c r="AT82" i="8" s="1"/>
  <c r="J82" i="8"/>
  <c r="AS82" i="8" s="1"/>
  <c r="I82" i="8"/>
  <c r="AR82" i="8" s="1"/>
  <c r="AI81" i="8"/>
  <c r="BR81" i="8" s="1"/>
  <c r="AH81" i="8"/>
  <c r="BQ81" i="8" s="1"/>
  <c r="AG81" i="8"/>
  <c r="BP81" i="8" s="1"/>
  <c r="AA81" i="8"/>
  <c r="BJ81" i="8" s="1"/>
  <c r="Z81" i="8"/>
  <c r="BI81" i="8" s="1"/>
  <c r="Y81" i="8"/>
  <c r="BH81" i="8" s="1"/>
  <c r="S81" i="8"/>
  <c r="BB81" i="8" s="1"/>
  <c r="R81" i="8"/>
  <c r="BA81" i="8" s="1"/>
  <c r="Q81" i="8"/>
  <c r="AZ81" i="8" s="1"/>
  <c r="K81" i="8"/>
  <c r="AT81" i="8" s="1"/>
  <c r="J81" i="8"/>
  <c r="AS81" i="8" s="1"/>
  <c r="I81" i="8"/>
  <c r="AR81" i="8" s="1"/>
  <c r="AI80" i="8"/>
  <c r="BR80" i="8" s="1"/>
  <c r="AH80" i="8"/>
  <c r="BQ80" i="8" s="1"/>
  <c r="AG80" i="8"/>
  <c r="BP80" i="8" s="1"/>
  <c r="AA80" i="8"/>
  <c r="BJ80" i="8" s="1"/>
  <c r="Z80" i="8"/>
  <c r="BI80" i="8" s="1"/>
  <c r="Y80" i="8"/>
  <c r="BH80" i="8" s="1"/>
  <c r="S80" i="8"/>
  <c r="BB80" i="8" s="1"/>
  <c r="R80" i="8"/>
  <c r="BA80" i="8" s="1"/>
  <c r="Q80" i="8"/>
  <c r="AZ80" i="8" s="1"/>
  <c r="K80" i="8"/>
  <c r="AT80" i="8" s="1"/>
  <c r="J80" i="8"/>
  <c r="AS80" i="8" s="1"/>
  <c r="I80" i="8"/>
  <c r="AR80" i="8" s="1"/>
  <c r="AI79" i="8"/>
  <c r="BR79" i="8" s="1"/>
  <c r="AH79" i="8"/>
  <c r="BQ79" i="8" s="1"/>
  <c r="AG79" i="8"/>
  <c r="BP79" i="8" s="1"/>
  <c r="AA79" i="8"/>
  <c r="BJ79" i="8" s="1"/>
  <c r="Z79" i="8"/>
  <c r="BI79" i="8" s="1"/>
  <c r="Y79" i="8"/>
  <c r="BH79" i="8" s="1"/>
  <c r="S79" i="8"/>
  <c r="BB79" i="8" s="1"/>
  <c r="R79" i="8"/>
  <c r="BA79" i="8" s="1"/>
  <c r="Q79" i="8"/>
  <c r="AZ79" i="8" s="1"/>
  <c r="K79" i="8"/>
  <c r="AT79" i="8" s="1"/>
  <c r="J79" i="8"/>
  <c r="AS79" i="8" s="1"/>
  <c r="I79" i="8"/>
  <c r="AR79" i="8" s="1"/>
  <c r="AI78" i="8"/>
  <c r="BR78" i="8" s="1"/>
  <c r="AH78" i="8"/>
  <c r="BQ78" i="8" s="1"/>
  <c r="AG78" i="8"/>
  <c r="BP78" i="8" s="1"/>
  <c r="AA78" i="8"/>
  <c r="BJ78" i="8" s="1"/>
  <c r="Z78" i="8"/>
  <c r="BI78" i="8" s="1"/>
  <c r="Y78" i="8"/>
  <c r="BH78" i="8" s="1"/>
  <c r="S78" i="8"/>
  <c r="BB78" i="8" s="1"/>
  <c r="R78" i="8"/>
  <c r="BA78" i="8" s="1"/>
  <c r="Q78" i="8"/>
  <c r="AZ78" i="8" s="1"/>
  <c r="K78" i="8"/>
  <c r="AT78" i="8" s="1"/>
  <c r="J78" i="8"/>
  <c r="AS78" i="8" s="1"/>
  <c r="I78" i="8"/>
  <c r="AR78" i="8" s="1"/>
  <c r="AI77" i="8"/>
  <c r="BR77" i="8" s="1"/>
  <c r="AH77" i="8"/>
  <c r="BQ77" i="8" s="1"/>
  <c r="AG77" i="8"/>
  <c r="BP77" i="8" s="1"/>
  <c r="AA77" i="8"/>
  <c r="BJ77" i="8" s="1"/>
  <c r="Z77" i="8"/>
  <c r="BI77" i="8" s="1"/>
  <c r="Y77" i="8"/>
  <c r="BH77" i="8" s="1"/>
  <c r="S77" i="8"/>
  <c r="BB77" i="8" s="1"/>
  <c r="R77" i="8"/>
  <c r="BA77" i="8" s="1"/>
  <c r="Q77" i="8"/>
  <c r="AZ77" i="8" s="1"/>
  <c r="K77" i="8"/>
  <c r="AT77" i="8" s="1"/>
  <c r="J77" i="8"/>
  <c r="AS77" i="8" s="1"/>
  <c r="I77" i="8"/>
  <c r="AR77" i="8" s="1"/>
  <c r="AI76" i="8"/>
  <c r="AH76" i="8"/>
  <c r="AG76" i="8"/>
  <c r="AA76" i="8"/>
  <c r="Z76" i="8"/>
  <c r="Y76" i="8"/>
  <c r="S76" i="8"/>
  <c r="R76" i="8"/>
  <c r="Q76" i="8"/>
  <c r="K76" i="8"/>
  <c r="J76" i="8"/>
  <c r="I76" i="8"/>
  <c r="AI74" i="8"/>
  <c r="AH74" i="8"/>
  <c r="AG74" i="8"/>
  <c r="AF75" i="8"/>
  <c r="J25" i="10" s="1"/>
  <c r="AC75" i="8"/>
  <c r="J7" i="10" s="1"/>
  <c r="AA74" i="8"/>
  <c r="Z74" i="8"/>
  <c r="Y74" i="8"/>
  <c r="U75" i="8"/>
  <c r="I7" i="10" s="1"/>
  <c r="S74" i="8"/>
  <c r="R74" i="8"/>
  <c r="Q74" i="8"/>
  <c r="P75" i="8"/>
  <c r="H25" i="10" s="1"/>
  <c r="M75" i="8"/>
  <c r="H7" i="10" s="1"/>
  <c r="K74" i="8"/>
  <c r="J74" i="8"/>
  <c r="I74" i="8"/>
  <c r="G75" i="8"/>
  <c r="G19" i="10" s="1"/>
  <c r="E75" i="8"/>
  <c r="G7" i="10" s="1"/>
  <c r="AI72" i="8"/>
  <c r="BR72" i="8" s="1"/>
  <c r="AH72" i="8"/>
  <c r="BQ72" i="8" s="1"/>
  <c r="AG72" i="8"/>
  <c r="BP72" i="8" s="1"/>
  <c r="AA72" i="8"/>
  <c r="BJ72" i="8" s="1"/>
  <c r="Z72" i="8"/>
  <c r="BI72" i="8" s="1"/>
  <c r="Y72" i="8"/>
  <c r="BH72" i="8" s="1"/>
  <c r="S72" i="8"/>
  <c r="BB72" i="8" s="1"/>
  <c r="R72" i="8"/>
  <c r="BA72" i="8" s="1"/>
  <c r="Q72" i="8"/>
  <c r="AZ72" i="8" s="1"/>
  <c r="K72" i="8"/>
  <c r="AT72" i="8" s="1"/>
  <c r="J72" i="8"/>
  <c r="AS72" i="8" s="1"/>
  <c r="I72" i="8"/>
  <c r="AR72" i="8" s="1"/>
  <c r="AI71" i="8"/>
  <c r="BR71" i="8" s="1"/>
  <c r="AH71" i="8"/>
  <c r="BQ71" i="8" s="1"/>
  <c r="AG71" i="8"/>
  <c r="BP71" i="8" s="1"/>
  <c r="AA71" i="8"/>
  <c r="BJ71" i="8" s="1"/>
  <c r="Z71" i="8"/>
  <c r="BI71" i="8" s="1"/>
  <c r="Y71" i="8"/>
  <c r="BH71" i="8" s="1"/>
  <c r="S71" i="8"/>
  <c r="BB71" i="8" s="1"/>
  <c r="R71" i="8"/>
  <c r="BA71" i="8" s="1"/>
  <c r="Q71" i="8"/>
  <c r="AZ71" i="8" s="1"/>
  <c r="K71" i="8"/>
  <c r="AT71" i="8" s="1"/>
  <c r="J71" i="8"/>
  <c r="AS71" i="8" s="1"/>
  <c r="I71" i="8"/>
  <c r="AR71" i="8" s="1"/>
  <c r="AI70" i="8"/>
  <c r="BR70" i="8" s="1"/>
  <c r="AH70" i="8"/>
  <c r="BQ70" i="8" s="1"/>
  <c r="AG70" i="8"/>
  <c r="BP70" i="8" s="1"/>
  <c r="AA70" i="8"/>
  <c r="BJ70" i="8" s="1"/>
  <c r="Z70" i="8"/>
  <c r="BI70" i="8" s="1"/>
  <c r="Y70" i="8"/>
  <c r="BH70" i="8" s="1"/>
  <c r="S70" i="8"/>
  <c r="BB70" i="8" s="1"/>
  <c r="R70" i="8"/>
  <c r="BA70" i="8" s="1"/>
  <c r="Q70" i="8"/>
  <c r="AZ70" i="8" s="1"/>
  <c r="K70" i="8"/>
  <c r="AT70" i="8" s="1"/>
  <c r="J70" i="8"/>
  <c r="AS70" i="8" s="1"/>
  <c r="I70" i="8"/>
  <c r="AR70" i="8" s="1"/>
  <c r="AI69" i="8"/>
  <c r="BR69" i="8" s="1"/>
  <c r="AH69" i="8"/>
  <c r="BQ69" i="8" s="1"/>
  <c r="AG69" i="8"/>
  <c r="BP69" i="8" s="1"/>
  <c r="AA69" i="8"/>
  <c r="BJ69" i="8" s="1"/>
  <c r="Z69" i="8"/>
  <c r="BI69" i="8" s="1"/>
  <c r="Y69" i="8"/>
  <c r="BH69" i="8" s="1"/>
  <c r="S69" i="8"/>
  <c r="BB69" i="8" s="1"/>
  <c r="R69" i="8"/>
  <c r="BA69" i="8" s="1"/>
  <c r="Q69" i="8"/>
  <c r="AZ69" i="8" s="1"/>
  <c r="K69" i="8"/>
  <c r="AT69" i="8" s="1"/>
  <c r="J69" i="8"/>
  <c r="AS69" i="8" s="1"/>
  <c r="I69" i="8"/>
  <c r="AR69" i="8" s="1"/>
  <c r="AI68" i="8"/>
  <c r="BR68" i="8" s="1"/>
  <c r="AH68" i="8"/>
  <c r="BQ68" i="8" s="1"/>
  <c r="AG68" i="8"/>
  <c r="BP68" i="8" s="1"/>
  <c r="AA68" i="8"/>
  <c r="BJ68" i="8" s="1"/>
  <c r="Z68" i="8"/>
  <c r="BI68" i="8" s="1"/>
  <c r="Y68" i="8"/>
  <c r="BH68" i="8" s="1"/>
  <c r="S68" i="8"/>
  <c r="BB68" i="8" s="1"/>
  <c r="R68" i="8"/>
  <c r="BA68" i="8" s="1"/>
  <c r="Q68" i="8"/>
  <c r="AZ68" i="8" s="1"/>
  <c r="K68" i="8"/>
  <c r="AT68" i="8" s="1"/>
  <c r="J68" i="8"/>
  <c r="AS68" i="8" s="1"/>
  <c r="I68" i="8"/>
  <c r="AR68" i="8" s="1"/>
  <c r="AI67" i="8"/>
  <c r="BR67" i="8" s="1"/>
  <c r="AH67" i="8"/>
  <c r="BQ67" i="8" s="1"/>
  <c r="AG67" i="8"/>
  <c r="BP67" i="8" s="1"/>
  <c r="AA67" i="8"/>
  <c r="BJ67" i="8" s="1"/>
  <c r="Z67" i="8"/>
  <c r="BI67" i="8" s="1"/>
  <c r="Y67" i="8"/>
  <c r="BH67" i="8" s="1"/>
  <c r="S67" i="8"/>
  <c r="BB67" i="8" s="1"/>
  <c r="R67" i="8"/>
  <c r="BA67" i="8" s="1"/>
  <c r="Q67" i="8"/>
  <c r="AZ67" i="8" s="1"/>
  <c r="K67" i="8"/>
  <c r="AT67" i="8" s="1"/>
  <c r="J67" i="8"/>
  <c r="AS67" i="8" s="1"/>
  <c r="I67" i="8"/>
  <c r="AR67" i="8" s="1"/>
  <c r="AI66" i="8"/>
  <c r="BR66" i="8" s="1"/>
  <c r="AH66" i="8"/>
  <c r="BQ66" i="8" s="1"/>
  <c r="AG66" i="8"/>
  <c r="BP66" i="8" s="1"/>
  <c r="AA66" i="8"/>
  <c r="BJ66" i="8" s="1"/>
  <c r="Z66" i="8"/>
  <c r="BI66" i="8" s="1"/>
  <c r="Y66" i="8"/>
  <c r="BH66" i="8" s="1"/>
  <c r="S66" i="8"/>
  <c r="BB66" i="8" s="1"/>
  <c r="R66" i="8"/>
  <c r="BA66" i="8" s="1"/>
  <c r="Q66" i="8"/>
  <c r="AZ66" i="8" s="1"/>
  <c r="K66" i="8"/>
  <c r="AT66" i="8" s="1"/>
  <c r="J66" i="8"/>
  <c r="AS66" i="8" s="1"/>
  <c r="I66" i="8"/>
  <c r="AR66" i="8" s="1"/>
  <c r="AI65" i="8"/>
  <c r="BR65" i="8" s="1"/>
  <c r="AH65" i="8"/>
  <c r="BQ65" i="8" s="1"/>
  <c r="AG65" i="8"/>
  <c r="BP65" i="8" s="1"/>
  <c r="AA65" i="8"/>
  <c r="BJ65" i="8" s="1"/>
  <c r="Z65" i="8"/>
  <c r="BI65" i="8" s="1"/>
  <c r="Y65" i="8"/>
  <c r="BH65" i="8" s="1"/>
  <c r="S65" i="8"/>
  <c r="BB65" i="8" s="1"/>
  <c r="R65" i="8"/>
  <c r="BA65" i="8" s="1"/>
  <c r="Q65" i="8"/>
  <c r="AZ65" i="8" s="1"/>
  <c r="K65" i="8"/>
  <c r="AT65" i="8" s="1"/>
  <c r="J65" i="8"/>
  <c r="AS65" i="8" s="1"/>
  <c r="I65" i="8"/>
  <c r="AR65" i="8" s="1"/>
  <c r="AI64" i="8"/>
  <c r="BR64" i="8" s="1"/>
  <c r="AH64" i="8"/>
  <c r="BQ64" i="8" s="1"/>
  <c r="AG64" i="8"/>
  <c r="BP64" i="8" s="1"/>
  <c r="AA64" i="8"/>
  <c r="BJ64" i="8" s="1"/>
  <c r="Z64" i="8"/>
  <c r="BI64" i="8" s="1"/>
  <c r="Y64" i="8"/>
  <c r="BH64" i="8" s="1"/>
  <c r="S64" i="8"/>
  <c r="BB64" i="8" s="1"/>
  <c r="R64" i="8"/>
  <c r="BA64" i="8" s="1"/>
  <c r="Q64" i="8"/>
  <c r="AZ64" i="8" s="1"/>
  <c r="K64" i="8"/>
  <c r="AT64" i="8" s="1"/>
  <c r="J64" i="8"/>
  <c r="AS64" i="8" s="1"/>
  <c r="I64" i="8"/>
  <c r="AR64" i="8" s="1"/>
  <c r="AI63" i="8"/>
  <c r="BR63" i="8" s="1"/>
  <c r="AH63" i="8"/>
  <c r="BQ63" i="8" s="1"/>
  <c r="AG63" i="8"/>
  <c r="BP63" i="8" s="1"/>
  <c r="AA63" i="8"/>
  <c r="BJ63" i="8" s="1"/>
  <c r="Z63" i="8"/>
  <c r="BI63" i="8" s="1"/>
  <c r="Y63" i="8"/>
  <c r="BH63" i="8" s="1"/>
  <c r="S63" i="8"/>
  <c r="BB63" i="8" s="1"/>
  <c r="R63" i="8"/>
  <c r="BA63" i="8" s="1"/>
  <c r="Q63" i="8"/>
  <c r="AZ63" i="8" s="1"/>
  <c r="K63" i="8"/>
  <c r="AT63" i="8" s="1"/>
  <c r="J63" i="8"/>
  <c r="AS63" i="8" s="1"/>
  <c r="I63" i="8"/>
  <c r="AR63" i="8" s="1"/>
  <c r="AI62" i="8"/>
  <c r="BR62" i="8" s="1"/>
  <c r="AH62" i="8"/>
  <c r="BQ62" i="8" s="1"/>
  <c r="AG62" i="8"/>
  <c r="BP62" i="8" s="1"/>
  <c r="AA62" i="8"/>
  <c r="BJ62" i="8" s="1"/>
  <c r="Z62" i="8"/>
  <c r="BI62" i="8" s="1"/>
  <c r="Y62" i="8"/>
  <c r="BH62" i="8" s="1"/>
  <c r="S62" i="8"/>
  <c r="BB62" i="8" s="1"/>
  <c r="R62" i="8"/>
  <c r="BA62" i="8" s="1"/>
  <c r="Q62" i="8"/>
  <c r="AZ62" i="8" s="1"/>
  <c r="K62" i="8"/>
  <c r="AT62" i="8" s="1"/>
  <c r="J62" i="8"/>
  <c r="AS62" i="8" s="1"/>
  <c r="I62" i="8"/>
  <c r="AR62" i="8" s="1"/>
  <c r="AI61" i="8"/>
  <c r="BR61" i="8" s="1"/>
  <c r="AH61" i="8"/>
  <c r="BQ61" i="8" s="1"/>
  <c r="AG61" i="8"/>
  <c r="BP61" i="8" s="1"/>
  <c r="AA61" i="8"/>
  <c r="BJ61" i="8" s="1"/>
  <c r="Z61" i="8"/>
  <c r="BI61" i="8" s="1"/>
  <c r="Y61" i="8"/>
  <c r="BH61" i="8" s="1"/>
  <c r="S61" i="8"/>
  <c r="BB61" i="8" s="1"/>
  <c r="R61" i="8"/>
  <c r="BA61" i="8" s="1"/>
  <c r="Q61" i="8"/>
  <c r="AZ61" i="8" s="1"/>
  <c r="K61" i="8"/>
  <c r="AT61" i="8" s="1"/>
  <c r="J61" i="8"/>
  <c r="AS61" i="8" s="1"/>
  <c r="I61" i="8"/>
  <c r="AR61" i="8" s="1"/>
  <c r="AI60" i="8"/>
  <c r="BR60" i="8" s="1"/>
  <c r="AH60" i="8"/>
  <c r="BQ60" i="8" s="1"/>
  <c r="AG60" i="8"/>
  <c r="BP60" i="8" s="1"/>
  <c r="AA60" i="8"/>
  <c r="BJ60" i="8" s="1"/>
  <c r="Z60" i="8"/>
  <c r="BI60" i="8" s="1"/>
  <c r="Y60" i="8"/>
  <c r="BH60" i="8" s="1"/>
  <c r="S60" i="8"/>
  <c r="BB60" i="8" s="1"/>
  <c r="R60" i="8"/>
  <c r="BA60" i="8" s="1"/>
  <c r="Q60" i="8"/>
  <c r="AZ60" i="8" s="1"/>
  <c r="K60" i="8"/>
  <c r="AT60" i="8" s="1"/>
  <c r="J60" i="8"/>
  <c r="AS60" i="8" s="1"/>
  <c r="I60" i="8"/>
  <c r="AR60" i="8" s="1"/>
  <c r="AI59" i="8"/>
  <c r="BR59" i="8" s="1"/>
  <c r="AH59" i="8"/>
  <c r="BQ59" i="8" s="1"/>
  <c r="AG59" i="8"/>
  <c r="BP59" i="8" s="1"/>
  <c r="AA59" i="8"/>
  <c r="BJ59" i="8" s="1"/>
  <c r="Z59" i="8"/>
  <c r="BI59" i="8" s="1"/>
  <c r="Y59" i="8"/>
  <c r="BH59" i="8" s="1"/>
  <c r="S59" i="8"/>
  <c r="BB59" i="8" s="1"/>
  <c r="R59" i="8"/>
  <c r="BA59" i="8" s="1"/>
  <c r="Q59" i="8"/>
  <c r="AZ59" i="8" s="1"/>
  <c r="K59" i="8"/>
  <c r="AT59" i="8" s="1"/>
  <c r="J59" i="8"/>
  <c r="AS59" i="8" s="1"/>
  <c r="I59" i="8"/>
  <c r="AR59" i="8" s="1"/>
  <c r="AI57" i="8"/>
  <c r="BR57" i="8" s="1"/>
  <c r="AH57" i="8"/>
  <c r="BQ57" i="8" s="1"/>
  <c r="AG57" i="8"/>
  <c r="BP57" i="8" s="1"/>
  <c r="AA57" i="8"/>
  <c r="BJ57" i="8" s="1"/>
  <c r="Z57" i="8"/>
  <c r="BI57" i="8" s="1"/>
  <c r="Y57" i="8"/>
  <c r="BH57" i="8" s="1"/>
  <c r="S57" i="8"/>
  <c r="BB57" i="8" s="1"/>
  <c r="R57" i="8"/>
  <c r="BA57" i="8" s="1"/>
  <c r="Q57" i="8"/>
  <c r="AZ57" i="8" s="1"/>
  <c r="K57" i="8"/>
  <c r="AT57" i="8" s="1"/>
  <c r="J57" i="8"/>
  <c r="AS57" i="8" s="1"/>
  <c r="I57" i="8"/>
  <c r="AR57" i="8" s="1"/>
  <c r="AI56" i="8"/>
  <c r="BR56" i="8" s="1"/>
  <c r="AH56" i="8"/>
  <c r="BQ56" i="8" s="1"/>
  <c r="AG56" i="8"/>
  <c r="BP56" i="8" s="1"/>
  <c r="AA56" i="8"/>
  <c r="BJ56" i="8" s="1"/>
  <c r="Z56" i="8"/>
  <c r="BI56" i="8" s="1"/>
  <c r="Y56" i="8"/>
  <c r="BH56" i="8" s="1"/>
  <c r="S56" i="8"/>
  <c r="BB56" i="8" s="1"/>
  <c r="R56" i="8"/>
  <c r="BA56" i="8" s="1"/>
  <c r="Q56" i="8"/>
  <c r="AZ56" i="8" s="1"/>
  <c r="K56" i="8"/>
  <c r="AT56" i="8" s="1"/>
  <c r="J56" i="8"/>
  <c r="AS56" i="8" s="1"/>
  <c r="I56" i="8"/>
  <c r="AR56" i="8" s="1"/>
  <c r="AI55" i="8"/>
  <c r="BR55" i="8" s="1"/>
  <c r="AH55" i="8"/>
  <c r="BQ55" i="8" s="1"/>
  <c r="AG55" i="8"/>
  <c r="BP55" i="8" s="1"/>
  <c r="AA55" i="8"/>
  <c r="BJ55" i="8" s="1"/>
  <c r="Z55" i="8"/>
  <c r="BI55" i="8" s="1"/>
  <c r="Y55" i="8"/>
  <c r="BH55" i="8" s="1"/>
  <c r="S55" i="8"/>
  <c r="BB55" i="8" s="1"/>
  <c r="R55" i="8"/>
  <c r="BA55" i="8" s="1"/>
  <c r="Q55" i="8"/>
  <c r="AZ55" i="8" s="1"/>
  <c r="K55" i="8"/>
  <c r="AT55" i="8" s="1"/>
  <c r="J55" i="8"/>
  <c r="AS55" i="8" s="1"/>
  <c r="I55" i="8"/>
  <c r="AR55" i="8" s="1"/>
  <c r="AI54" i="8"/>
  <c r="BR54" i="8" s="1"/>
  <c r="AH54" i="8"/>
  <c r="BQ54" i="8" s="1"/>
  <c r="AG54" i="8"/>
  <c r="BP54" i="8" s="1"/>
  <c r="AA54" i="8"/>
  <c r="BJ54" i="8" s="1"/>
  <c r="Z54" i="8"/>
  <c r="BI54" i="8" s="1"/>
  <c r="Y54" i="8"/>
  <c r="BH54" i="8" s="1"/>
  <c r="S54" i="8"/>
  <c r="BB54" i="8" s="1"/>
  <c r="R54" i="8"/>
  <c r="BA54" i="8" s="1"/>
  <c r="Q54" i="8"/>
  <c r="AZ54" i="8" s="1"/>
  <c r="K54" i="8"/>
  <c r="AT54" i="8" s="1"/>
  <c r="J54" i="8"/>
  <c r="AS54" i="8" s="1"/>
  <c r="I54" i="8"/>
  <c r="AR54" i="8" s="1"/>
  <c r="AI53" i="8"/>
  <c r="BR53" i="8" s="1"/>
  <c r="AH53" i="8"/>
  <c r="BQ53" i="8" s="1"/>
  <c r="AG53" i="8"/>
  <c r="BP53" i="8" s="1"/>
  <c r="AA53" i="8"/>
  <c r="BJ53" i="8" s="1"/>
  <c r="Z53" i="8"/>
  <c r="BI53" i="8" s="1"/>
  <c r="Y53" i="8"/>
  <c r="BH53" i="8" s="1"/>
  <c r="S53" i="8"/>
  <c r="BB53" i="8" s="1"/>
  <c r="R53" i="8"/>
  <c r="BA53" i="8" s="1"/>
  <c r="Q53" i="8"/>
  <c r="AZ53" i="8" s="1"/>
  <c r="K53" i="8"/>
  <c r="AT53" i="8" s="1"/>
  <c r="J53" i="8"/>
  <c r="AS53" i="8" s="1"/>
  <c r="I53" i="8"/>
  <c r="AR53" i="8" s="1"/>
  <c r="AI52" i="8"/>
  <c r="BR52" i="8" s="1"/>
  <c r="AH52" i="8"/>
  <c r="BQ52" i="8" s="1"/>
  <c r="AG52" i="8"/>
  <c r="BP52" i="8" s="1"/>
  <c r="AA52" i="8"/>
  <c r="BJ52" i="8" s="1"/>
  <c r="Z52" i="8"/>
  <c r="BI52" i="8" s="1"/>
  <c r="Y52" i="8"/>
  <c r="BH52" i="8" s="1"/>
  <c r="S52" i="8"/>
  <c r="BB52" i="8" s="1"/>
  <c r="R52" i="8"/>
  <c r="BA52" i="8" s="1"/>
  <c r="Q52" i="8"/>
  <c r="AZ52" i="8" s="1"/>
  <c r="K52" i="8"/>
  <c r="AT52" i="8" s="1"/>
  <c r="J52" i="8"/>
  <c r="AS52" i="8" s="1"/>
  <c r="I52" i="8"/>
  <c r="AR52" i="8" s="1"/>
  <c r="AI51" i="8"/>
  <c r="BR51" i="8" s="1"/>
  <c r="AH51" i="8"/>
  <c r="BQ51" i="8" s="1"/>
  <c r="AG51" i="8"/>
  <c r="BP51" i="8" s="1"/>
  <c r="AA51" i="8"/>
  <c r="BJ51" i="8" s="1"/>
  <c r="Z51" i="8"/>
  <c r="BI51" i="8" s="1"/>
  <c r="Y51" i="8"/>
  <c r="BH51" i="8" s="1"/>
  <c r="S51" i="8"/>
  <c r="BB51" i="8" s="1"/>
  <c r="R51" i="8"/>
  <c r="BA51" i="8" s="1"/>
  <c r="Q51" i="8"/>
  <c r="AZ51" i="8" s="1"/>
  <c r="K51" i="8"/>
  <c r="AT51" i="8" s="1"/>
  <c r="J51" i="8"/>
  <c r="AS51" i="8" s="1"/>
  <c r="I51" i="8"/>
  <c r="AR51" i="8" s="1"/>
  <c r="AI50" i="8"/>
  <c r="BR50" i="8" s="1"/>
  <c r="AH50" i="8"/>
  <c r="BQ50" i="8" s="1"/>
  <c r="AG50" i="8"/>
  <c r="BP50" i="8" s="1"/>
  <c r="AA50" i="8"/>
  <c r="BJ50" i="8" s="1"/>
  <c r="Z50" i="8"/>
  <c r="BI50" i="8" s="1"/>
  <c r="Y50" i="8"/>
  <c r="BH50" i="8" s="1"/>
  <c r="S50" i="8"/>
  <c r="BB50" i="8" s="1"/>
  <c r="R50" i="8"/>
  <c r="BA50" i="8" s="1"/>
  <c r="Q50" i="8"/>
  <c r="AZ50" i="8" s="1"/>
  <c r="K50" i="8"/>
  <c r="AT50" i="8" s="1"/>
  <c r="J50" i="8"/>
  <c r="AS50" i="8" s="1"/>
  <c r="I50" i="8"/>
  <c r="AR50" i="8" s="1"/>
  <c r="AI49" i="8"/>
  <c r="BR49" i="8" s="1"/>
  <c r="AH49" i="8"/>
  <c r="BQ49" i="8" s="1"/>
  <c r="AG49" i="8"/>
  <c r="BP49" i="8" s="1"/>
  <c r="AA49" i="8"/>
  <c r="BJ49" i="8" s="1"/>
  <c r="Z49" i="8"/>
  <c r="BI49" i="8" s="1"/>
  <c r="Y49" i="8"/>
  <c r="BH49" i="8" s="1"/>
  <c r="S49" i="8"/>
  <c r="BB49" i="8" s="1"/>
  <c r="R49" i="8"/>
  <c r="BA49" i="8" s="1"/>
  <c r="Q49" i="8"/>
  <c r="AZ49" i="8" s="1"/>
  <c r="K49" i="8"/>
  <c r="AT49" i="8" s="1"/>
  <c r="J49" i="8"/>
  <c r="AS49" i="8" s="1"/>
  <c r="I49" i="8"/>
  <c r="AR49" i="8" s="1"/>
  <c r="AI48" i="8"/>
  <c r="BR48" i="8" s="1"/>
  <c r="AH48" i="8"/>
  <c r="BQ48" i="8" s="1"/>
  <c r="AG48" i="8"/>
  <c r="BP48" i="8" s="1"/>
  <c r="AA48" i="8"/>
  <c r="BJ48" i="8" s="1"/>
  <c r="Z48" i="8"/>
  <c r="BI48" i="8" s="1"/>
  <c r="Y48" i="8"/>
  <c r="BH48" i="8" s="1"/>
  <c r="S48" i="8"/>
  <c r="BB48" i="8" s="1"/>
  <c r="R48" i="8"/>
  <c r="BA48" i="8" s="1"/>
  <c r="Q48" i="8"/>
  <c r="AZ48" i="8" s="1"/>
  <c r="K48" i="8"/>
  <c r="AT48" i="8" s="1"/>
  <c r="J48" i="8"/>
  <c r="AS48" i="8" s="1"/>
  <c r="I48" i="8"/>
  <c r="AR48" i="8" s="1"/>
  <c r="AI47" i="8"/>
  <c r="BR47" i="8" s="1"/>
  <c r="AH47" i="8"/>
  <c r="BQ47" i="8" s="1"/>
  <c r="AG47" i="8"/>
  <c r="BP47" i="8" s="1"/>
  <c r="AA47" i="8"/>
  <c r="BJ47" i="8" s="1"/>
  <c r="Z47" i="8"/>
  <c r="BI47" i="8" s="1"/>
  <c r="Y47" i="8"/>
  <c r="BH47" i="8" s="1"/>
  <c r="S47" i="8"/>
  <c r="BB47" i="8" s="1"/>
  <c r="R47" i="8"/>
  <c r="BA47" i="8" s="1"/>
  <c r="Q47" i="8"/>
  <c r="AZ47" i="8" s="1"/>
  <c r="K47" i="8"/>
  <c r="AT47" i="8" s="1"/>
  <c r="J47" i="8"/>
  <c r="AS47" i="8" s="1"/>
  <c r="I47" i="8"/>
  <c r="AR47" i="8" s="1"/>
  <c r="AI46" i="8"/>
  <c r="BR46" i="8" s="1"/>
  <c r="AH46" i="8"/>
  <c r="BQ46" i="8" s="1"/>
  <c r="AG46" i="8"/>
  <c r="BP46" i="8" s="1"/>
  <c r="AA46" i="8"/>
  <c r="BJ46" i="8" s="1"/>
  <c r="Z46" i="8"/>
  <c r="BI46" i="8" s="1"/>
  <c r="Y46" i="8"/>
  <c r="BH46" i="8" s="1"/>
  <c r="S46" i="8"/>
  <c r="BB46" i="8" s="1"/>
  <c r="R46" i="8"/>
  <c r="BA46" i="8" s="1"/>
  <c r="Q46" i="8"/>
  <c r="AZ46" i="8" s="1"/>
  <c r="K46" i="8"/>
  <c r="AT46" i="8" s="1"/>
  <c r="J46" i="8"/>
  <c r="AS46" i="8" s="1"/>
  <c r="I46" i="8"/>
  <c r="AR46" i="8" s="1"/>
  <c r="AI45" i="8"/>
  <c r="BR45" i="8" s="1"/>
  <c r="AH45" i="8"/>
  <c r="BQ45" i="8" s="1"/>
  <c r="AG45" i="8"/>
  <c r="BP45" i="8" s="1"/>
  <c r="AA45" i="8"/>
  <c r="BJ45" i="8" s="1"/>
  <c r="Z45" i="8"/>
  <c r="BI45" i="8" s="1"/>
  <c r="Y45" i="8"/>
  <c r="BH45" i="8" s="1"/>
  <c r="S45" i="8"/>
  <c r="BB45" i="8" s="1"/>
  <c r="R45" i="8"/>
  <c r="BA45" i="8" s="1"/>
  <c r="Q45" i="8"/>
  <c r="AZ45" i="8" s="1"/>
  <c r="K45" i="8"/>
  <c r="AT45" i="8" s="1"/>
  <c r="J45" i="8"/>
  <c r="AS45" i="8" s="1"/>
  <c r="I45" i="8"/>
  <c r="AR45" i="8" s="1"/>
  <c r="AI44" i="8"/>
  <c r="BR44" i="8" s="1"/>
  <c r="AH44" i="8"/>
  <c r="BQ44" i="8" s="1"/>
  <c r="AG44" i="8"/>
  <c r="BP44" i="8" s="1"/>
  <c r="AA44" i="8"/>
  <c r="BJ44" i="8" s="1"/>
  <c r="Z44" i="8"/>
  <c r="BI44" i="8" s="1"/>
  <c r="Y44" i="8"/>
  <c r="BH44" i="8" s="1"/>
  <c r="S44" i="8"/>
  <c r="BB44" i="8" s="1"/>
  <c r="R44" i="8"/>
  <c r="BA44" i="8" s="1"/>
  <c r="Q44" i="8"/>
  <c r="AZ44" i="8" s="1"/>
  <c r="K44" i="8"/>
  <c r="AT44" i="8" s="1"/>
  <c r="J44" i="8"/>
  <c r="AS44" i="8" s="1"/>
  <c r="I44" i="8"/>
  <c r="AR44" i="8" s="1"/>
  <c r="AI43" i="8"/>
  <c r="BR43" i="8" s="1"/>
  <c r="AH43" i="8"/>
  <c r="BQ43" i="8" s="1"/>
  <c r="AG43" i="8"/>
  <c r="BP43" i="8" s="1"/>
  <c r="AA43" i="8"/>
  <c r="BJ43" i="8" s="1"/>
  <c r="Z43" i="8"/>
  <c r="BI43" i="8" s="1"/>
  <c r="Y43" i="8"/>
  <c r="BH43" i="8" s="1"/>
  <c r="S43" i="8"/>
  <c r="BB43" i="8" s="1"/>
  <c r="R43" i="8"/>
  <c r="BA43" i="8" s="1"/>
  <c r="Q43" i="8"/>
  <c r="AZ43" i="8" s="1"/>
  <c r="K43" i="8"/>
  <c r="AT43" i="8" s="1"/>
  <c r="J43" i="8"/>
  <c r="AS43" i="8" s="1"/>
  <c r="I43" i="8"/>
  <c r="AR43" i="8" s="1"/>
  <c r="AI42" i="8"/>
  <c r="BR42" i="8" s="1"/>
  <c r="AH42" i="8"/>
  <c r="BQ42" i="8" s="1"/>
  <c r="AG42" i="8"/>
  <c r="BP42" i="8" s="1"/>
  <c r="AA42" i="8"/>
  <c r="BJ42" i="8" s="1"/>
  <c r="Z42" i="8"/>
  <c r="BI42" i="8" s="1"/>
  <c r="Y42" i="8"/>
  <c r="BH42" i="8" s="1"/>
  <c r="S42" i="8"/>
  <c r="BB42" i="8" s="1"/>
  <c r="R42" i="8"/>
  <c r="BA42" i="8" s="1"/>
  <c r="Q42" i="8"/>
  <c r="AZ42" i="8" s="1"/>
  <c r="K42" i="8"/>
  <c r="AT42" i="8" s="1"/>
  <c r="J42" i="8"/>
  <c r="AS42" i="8" s="1"/>
  <c r="I42" i="8"/>
  <c r="AR42" i="8" s="1"/>
  <c r="AI41" i="8"/>
  <c r="BR41" i="8" s="1"/>
  <c r="AH41" i="8"/>
  <c r="BQ41" i="8" s="1"/>
  <c r="AG41" i="8"/>
  <c r="BP41" i="8" s="1"/>
  <c r="AA41" i="8"/>
  <c r="BJ41" i="8" s="1"/>
  <c r="Z41" i="8"/>
  <c r="BI41" i="8" s="1"/>
  <c r="Y41" i="8"/>
  <c r="BH41" i="8" s="1"/>
  <c r="S41" i="8"/>
  <c r="BB41" i="8" s="1"/>
  <c r="R41" i="8"/>
  <c r="BA41" i="8" s="1"/>
  <c r="Q41" i="8"/>
  <c r="AZ41" i="8" s="1"/>
  <c r="K41" i="8"/>
  <c r="AT41" i="8" s="1"/>
  <c r="J41" i="8"/>
  <c r="AS41" i="8" s="1"/>
  <c r="I41" i="8"/>
  <c r="AR41" i="8" s="1"/>
  <c r="AI40" i="8"/>
  <c r="BR40" i="8" s="1"/>
  <c r="AH40" i="8"/>
  <c r="BQ40" i="8" s="1"/>
  <c r="AG40" i="8"/>
  <c r="BP40" i="8" s="1"/>
  <c r="AA40" i="8"/>
  <c r="BJ40" i="8" s="1"/>
  <c r="Z40" i="8"/>
  <c r="BI40" i="8" s="1"/>
  <c r="Y40" i="8"/>
  <c r="BH40" i="8" s="1"/>
  <c r="S40" i="8"/>
  <c r="BB40" i="8" s="1"/>
  <c r="R40" i="8"/>
  <c r="BA40" i="8" s="1"/>
  <c r="Q40" i="8"/>
  <c r="AZ40" i="8" s="1"/>
  <c r="K40" i="8"/>
  <c r="AT40" i="8" s="1"/>
  <c r="J40" i="8"/>
  <c r="AS40" i="8" s="1"/>
  <c r="I40" i="8"/>
  <c r="AR40" i="8" s="1"/>
  <c r="AI39" i="8"/>
  <c r="BR39" i="8" s="1"/>
  <c r="AH39" i="8"/>
  <c r="BQ39" i="8" s="1"/>
  <c r="AG39" i="8"/>
  <c r="BP39" i="8" s="1"/>
  <c r="AA39" i="8"/>
  <c r="BJ39" i="8" s="1"/>
  <c r="Z39" i="8"/>
  <c r="BI39" i="8" s="1"/>
  <c r="Y39" i="8"/>
  <c r="BH39" i="8" s="1"/>
  <c r="S39" i="8"/>
  <c r="BB39" i="8" s="1"/>
  <c r="R39" i="8"/>
  <c r="BA39" i="8" s="1"/>
  <c r="Q39" i="8"/>
  <c r="AZ39" i="8" s="1"/>
  <c r="K39" i="8"/>
  <c r="AT39" i="8" s="1"/>
  <c r="J39" i="8"/>
  <c r="AS39" i="8" s="1"/>
  <c r="I39" i="8"/>
  <c r="AR39" i="8" s="1"/>
  <c r="AI38" i="8"/>
  <c r="BR38" i="8" s="1"/>
  <c r="AH38" i="8"/>
  <c r="BQ38" i="8" s="1"/>
  <c r="AG38" i="8"/>
  <c r="BP38" i="8" s="1"/>
  <c r="AA38" i="8"/>
  <c r="BJ38" i="8" s="1"/>
  <c r="Z38" i="8"/>
  <c r="BI38" i="8" s="1"/>
  <c r="Y38" i="8"/>
  <c r="BH38" i="8" s="1"/>
  <c r="S38" i="8"/>
  <c r="BB38" i="8" s="1"/>
  <c r="R38" i="8"/>
  <c r="BA38" i="8" s="1"/>
  <c r="Q38" i="8"/>
  <c r="AZ38" i="8" s="1"/>
  <c r="K38" i="8"/>
  <c r="AT38" i="8" s="1"/>
  <c r="J38" i="8"/>
  <c r="AS38" i="8" s="1"/>
  <c r="I38" i="8"/>
  <c r="AR38" i="8" s="1"/>
  <c r="AI37" i="8"/>
  <c r="BR37" i="8" s="1"/>
  <c r="AH37" i="8"/>
  <c r="BQ37" i="8" s="1"/>
  <c r="AG37" i="8"/>
  <c r="BP37" i="8" s="1"/>
  <c r="AA37" i="8"/>
  <c r="BJ37" i="8" s="1"/>
  <c r="Z37" i="8"/>
  <c r="BI37" i="8" s="1"/>
  <c r="Y37" i="8"/>
  <c r="BH37" i="8" s="1"/>
  <c r="S37" i="8"/>
  <c r="BB37" i="8" s="1"/>
  <c r="R37" i="8"/>
  <c r="BA37" i="8" s="1"/>
  <c r="Q37" i="8"/>
  <c r="AZ37" i="8" s="1"/>
  <c r="K37" i="8"/>
  <c r="AT37" i="8" s="1"/>
  <c r="J37" i="8"/>
  <c r="AS37" i="8" s="1"/>
  <c r="I37" i="8"/>
  <c r="AR37" i="8" s="1"/>
  <c r="I20" i="3"/>
  <c r="H20" i="3"/>
  <c r="G20" i="3"/>
  <c r="H31" i="3"/>
  <c r="I14" i="3"/>
  <c r="H14" i="3"/>
  <c r="F14" i="3"/>
  <c r="A39" i="3"/>
  <c r="A38" i="3"/>
  <c r="A37" i="3"/>
  <c r="A36" i="3"/>
  <c r="A35" i="3"/>
  <c r="A34" i="3"/>
  <c r="I33" i="3"/>
  <c r="H33" i="3"/>
  <c r="G33" i="3"/>
  <c r="F33" i="3"/>
  <c r="A33" i="3"/>
  <c r="I32" i="3"/>
  <c r="H32" i="3"/>
  <c r="G32" i="3"/>
  <c r="F32" i="3"/>
  <c r="A32" i="3"/>
  <c r="I31" i="3"/>
  <c r="G31" i="3"/>
  <c r="F31" i="3"/>
  <c r="A31" i="3"/>
  <c r="I30" i="3"/>
  <c r="H30" i="3"/>
  <c r="G30" i="3"/>
  <c r="F30" i="3"/>
  <c r="A30" i="3"/>
  <c r="I29" i="3"/>
  <c r="G29" i="3"/>
  <c r="F29" i="3"/>
  <c r="A29" i="3"/>
  <c r="A28" i="3"/>
  <c r="I27" i="3"/>
  <c r="H27" i="3"/>
  <c r="G27" i="3"/>
  <c r="F27" i="3"/>
  <c r="A27" i="3"/>
  <c r="I26" i="3"/>
  <c r="H26" i="3"/>
  <c r="G26" i="3"/>
  <c r="F26" i="3"/>
  <c r="A26" i="3"/>
  <c r="I25" i="3"/>
  <c r="H25" i="3"/>
  <c r="G25" i="3"/>
  <c r="F25" i="3"/>
  <c r="A25" i="3"/>
  <c r="I24" i="3"/>
  <c r="H24" i="3"/>
  <c r="G24" i="3"/>
  <c r="F24" i="3"/>
  <c r="A24" i="3"/>
  <c r="I23" i="3"/>
  <c r="H23" i="3"/>
  <c r="G23" i="3"/>
  <c r="F23" i="3"/>
  <c r="A23" i="3"/>
  <c r="A22" i="3"/>
  <c r="I21" i="3"/>
  <c r="H21" i="3"/>
  <c r="G21" i="3"/>
  <c r="F21" i="3"/>
  <c r="A21" i="3"/>
  <c r="F20" i="3"/>
  <c r="A20" i="3"/>
  <c r="I19" i="3"/>
  <c r="H19" i="3"/>
  <c r="G19" i="3"/>
  <c r="F19" i="3"/>
  <c r="A19" i="3"/>
  <c r="I18" i="3"/>
  <c r="H18" i="3"/>
  <c r="G18" i="3"/>
  <c r="F18" i="3"/>
  <c r="A18" i="3"/>
  <c r="I17" i="3"/>
  <c r="H17" i="3"/>
  <c r="G17" i="3"/>
  <c r="F17" i="3"/>
  <c r="A17" i="3"/>
  <c r="A16" i="3"/>
  <c r="I15" i="3"/>
  <c r="H15" i="3"/>
  <c r="G15" i="3"/>
  <c r="F15" i="3"/>
  <c r="A15" i="3"/>
  <c r="A14" i="3"/>
  <c r="I13" i="3"/>
  <c r="H13" i="3"/>
  <c r="G13" i="3"/>
  <c r="F13" i="3"/>
  <c r="A13" i="3"/>
  <c r="F12" i="3"/>
  <c r="A12" i="3"/>
  <c r="I11" i="3"/>
  <c r="H11" i="3"/>
  <c r="G11" i="3"/>
  <c r="F11" i="3"/>
  <c r="A11" i="3"/>
  <c r="A10" i="3"/>
  <c r="I9" i="3"/>
  <c r="H9" i="3"/>
  <c r="G9" i="3"/>
  <c r="F9" i="3"/>
  <c r="A9" i="3"/>
  <c r="I8" i="3"/>
  <c r="H8" i="3"/>
  <c r="G8" i="3"/>
  <c r="F8" i="3"/>
  <c r="A8" i="3"/>
  <c r="I7" i="3"/>
  <c r="H7" i="3"/>
  <c r="G7" i="3"/>
  <c r="F7" i="3"/>
  <c r="A7" i="3"/>
  <c r="I6" i="3"/>
  <c r="H6" i="3"/>
  <c r="G6" i="3"/>
  <c r="F6" i="3"/>
  <c r="A6" i="3"/>
  <c r="I5" i="3"/>
  <c r="H5" i="3"/>
  <c r="G5" i="3"/>
  <c r="F5" i="3"/>
  <c r="A5" i="3"/>
  <c r="A4" i="3"/>
  <c r="N3" i="3"/>
  <c r="O3" i="3" s="1"/>
  <c r="P3" i="3" s="1"/>
  <c r="G3" i="3"/>
  <c r="H3" i="3" s="1"/>
  <c r="I3" i="3" s="1"/>
  <c r="D4" i="1"/>
  <c r="E4" i="1" s="1"/>
  <c r="F4" i="1" s="1"/>
  <c r="G4" i="1" s="1"/>
  <c r="H4" i="1" s="1"/>
  <c r="I4" i="1" s="1"/>
  <c r="J4" i="1" s="1"/>
  <c r="BJ76" i="8" l="1"/>
  <c r="BJ106" i="8" s="1"/>
  <c r="AA106" i="8"/>
  <c r="AS76" i="8"/>
  <c r="AS106" i="8" s="1"/>
  <c r="J106" i="8"/>
  <c r="BP76" i="8"/>
  <c r="BP106" i="8" s="1"/>
  <c r="AG106" i="8"/>
  <c r="AS109" i="8"/>
  <c r="AS166" i="8" s="1"/>
  <c r="J166" i="8"/>
  <c r="BP109" i="8"/>
  <c r="BP166" i="8" s="1"/>
  <c r="AG166" i="8"/>
  <c r="AR76" i="8"/>
  <c r="AR106" i="8" s="1"/>
  <c r="I106" i="8"/>
  <c r="AT76" i="8"/>
  <c r="AT106" i="8" s="1"/>
  <c r="K106" i="8"/>
  <c r="BQ76" i="8"/>
  <c r="BQ106" i="8" s="1"/>
  <c r="AH106" i="8"/>
  <c r="AT109" i="8"/>
  <c r="AT166" i="8" s="1"/>
  <c r="K166" i="8"/>
  <c r="BQ109" i="8"/>
  <c r="BQ166" i="8" s="1"/>
  <c r="AH166" i="8"/>
  <c r="AZ76" i="8"/>
  <c r="AZ106" i="8" s="1"/>
  <c r="Q106" i="8"/>
  <c r="BR76" i="8"/>
  <c r="BR106" i="8" s="1"/>
  <c r="AI106" i="8"/>
  <c r="AZ109" i="8"/>
  <c r="AZ166" i="8" s="1"/>
  <c r="Q166" i="8"/>
  <c r="BR109" i="8"/>
  <c r="BR166" i="8" s="1"/>
  <c r="AI166" i="8"/>
  <c r="BA109" i="8"/>
  <c r="BA166" i="8" s="1"/>
  <c r="R166" i="8"/>
  <c r="BB76" i="8"/>
  <c r="BB106" i="8" s="1"/>
  <c r="S106" i="8"/>
  <c r="BB109" i="8"/>
  <c r="BB166" i="8" s="1"/>
  <c r="S166" i="8"/>
  <c r="BA76" i="8"/>
  <c r="BA106" i="8" s="1"/>
  <c r="R106" i="8"/>
  <c r="BH76" i="8"/>
  <c r="BH106" i="8" s="1"/>
  <c r="Y106" i="8"/>
  <c r="BH109" i="8"/>
  <c r="BH166" i="8" s="1"/>
  <c r="Y166" i="8"/>
  <c r="BI76" i="8"/>
  <c r="BI106" i="8" s="1"/>
  <c r="Z106" i="8"/>
  <c r="BI109" i="8"/>
  <c r="BI166" i="8" s="1"/>
  <c r="Z166" i="8"/>
  <c r="AR109" i="8"/>
  <c r="AR166" i="8" s="1"/>
  <c r="I166" i="8"/>
  <c r="BJ109" i="8"/>
  <c r="BJ166" i="8" s="1"/>
  <c r="AA166" i="8"/>
  <c r="BP58" i="8"/>
  <c r="BR175" i="8"/>
  <c r="L21" i="10"/>
  <c r="K27" i="10"/>
  <c r="Z8" i="10"/>
  <c r="Z16" i="10"/>
  <c r="Z24" i="10"/>
  <c r="Z32" i="10"/>
  <c r="K13" i="10"/>
  <c r="Z6" i="10"/>
  <c r="Z14" i="10"/>
  <c r="Z22" i="10"/>
  <c r="Z30" i="10"/>
  <c r="L17" i="10"/>
  <c r="Z7" i="10"/>
  <c r="Z15" i="10"/>
  <c r="Z23" i="10"/>
  <c r="Z31" i="10"/>
  <c r="L12" i="10"/>
  <c r="Z11" i="10"/>
  <c r="Z19" i="10"/>
  <c r="Z27" i="10"/>
  <c r="Z9" i="10"/>
  <c r="Z17" i="10"/>
  <c r="Z25" i="10"/>
  <c r="Z33" i="10"/>
  <c r="L11" i="10"/>
  <c r="Z12" i="10"/>
  <c r="Z20" i="10"/>
  <c r="Z28" i="10"/>
  <c r="Z10" i="10"/>
  <c r="Z18" i="10"/>
  <c r="Y26" i="10"/>
  <c r="Z26" i="10"/>
  <c r="Z34" i="10"/>
  <c r="K19" i="10"/>
  <c r="Z5" i="10"/>
  <c r="Z13" i="10"/>
  <c r="Z21" i="10"/>
  <c r="Z29" i="10"/>
  <c r="L13" i="10"/>
  <c r="K11" i="10"/>
  <c r="BQ58" i="8"/>
  <c r="K16" i="10"/>
  <c r="K17" i="10"/>
  <c r="L15" i="10"/>
  <c r="BR58" i="8"/>
  <c r="K108" i="8"/>
  <c r="G45" i="10" s="1"/>
  <c r="AT107" i="8"/>
  <c r="AT108" i="8" s="1"/>
  <c r="AA108" i="8"/>
  <c r="I45" i="10" s="1"/>
  <c r="BJ107" i="8"/>
  <c r="BJ108" i="8" s="1"/>
  <c r="R75" i="8"/>
  <c r="H37" i="10" s="1"/>
  <c r="BA74" i="8"/>
  <c r="AG75" i="8"/>
  <c r="J31" i="10" s="1"/>
  <c r="BP74" i="8"/>
  <c r="K21" i="10"/>
  <c r="K15" i="10"/>
  <c r="S75" i="8"/>
  <c r="H43" i="10" s="1"/>
  <c r="BB74" i="8"/>
  <c r="AH75" i="8"/>
  <c r="J37" i="10" s="1"/>
  <c r="BQ74" i="8"/>
  <c r="L19" i="10"/>
  <c r="Q75" i="8"/>
  <c r="H31" i="10" s="1"/>
  <c r="AZ74" i="8"/>
  <c r="I75" i="8"/>
  <c r="G31" i="10" s="1"/>
  <c r="AR74" i="8"/>
  <c r="AI75" i="8"/>
  <c r="J43" i="10" s="1"/>
  <c r="BR74" i="8"/>
  <c r="Q108" i="8"/>
  <c r="H33" i="10" s="1"/>
  <c r="AZ107" i="8"/>
  <c r="AZ108" i="8" s="1"/>
  <c r="K12" i="10"/>
  <c r="J75" i="8"/>
  <c r="G37" i="10" s="1"/>
  <c r="AS74" i="8"/>
  <c r="R108" i="8"/>
  <c r="H39" i="10" s="1"/>
  <c r="BA107" i="8"/>
  <c r="BA108" i="8" s="1"/>
  <c r="AH108" i="8"/>
  <c r="J39" i="10" s="1"/>
  <c r="BQ107" i="8"/>
  <c r="BQ108" i="8" s="1"/>
  <c r="Y75" i="8"/>
  <c r="I31" i="10" s="1"/>
  <c r="BH74" i="8"/>
  <c r="K75" i="8"/>
  <c r="G43" i="10" s="1"/>
  <c r="AT74" i="8"/>
  <c r="Z75" i="8"/>
  <c r="I37" i="10" s="1"/>
  <c r="BI74" i="8"/>
  <c r="S108" i="8"/>
  <c r="H45" i="10" s="1"/>
  <c r="BB107" i="8"/>
  <c r="BB108" i="8" s="1"/>
  <c r="AI108" i="8"/>
  <c r="J45" i="10" s="1"/>
  <c r="BR107" i="8"/>
  <c r="BR108" i="8" s="1"/>
  <c r="K9" i="10"/>
  <c r="L27" i="10"/>
  <c r="K7" i="10"/>
  <c r="AA75" i="8"/>
  <c r="I43" i="10" s="1"/>
  <c r="BJ74" i="8"/>
  <c r="I108" i="8"/>
  <c r="G33" i="10" s="1"/>
  <c r="AR107" i="8"/>
  <c r="AR108" i="8" s="1"/>
  <c r="Y108" i="8"/>
  <c r="I33" i="10" s="1"/>
  <c r="BH107" i="8"/>
  <c r="BH108" i="8" s="1"/>
  <c r="L9" i="10"/>
  <c r="L7" i="10"/>
  <c r="J108" i="8"/>
  <c r="G39" i="10" s="1"/>
  <c r="AS107" i="8"/>
  <c r="AS108" i="8" s="1"/>
  <c r="Z108" i="8"/>
  <c r="I39" i="10" s="1"/>
  <c r="BI107" i="8"/>
  <c r="BI108" i="8" s="1"/>
  <c r="L16" i="10"/>
  <c r="Y18" i="10"/>
  <c r="Y6" i="10"/>
  <c r="Y34" i="10"/>
  <c r="Y17" i="10"/>
  <c r="Y22" i="10"/>
  <c r="Y27" i="10"/>
  <c r="Y10" i="10"/>
  <c r="Y16" i="10"/>
  <c r="Y11" i="10"/>
  <c r="Y19" i="10"/>
  <c r="Y20" i="10"/>
  <c r="Y25" i="10"/>
  <c r="Y23" i="10"/>
  <c r="Y28" i="10"/>
  <c r="Y24" i="10"/>
  <c r="Y21" i="10"/>
  <c r="Y12" i="10"/>
  <c r="Y32" i="10"/>
  <c r="Y30" i="10"/>
  <c r="Y33" i="10"/>
  <c r="Y31" i="10"/>
  <c r="Y14" i="10"/>
  <c r="Y29" i="10"/>
  <c r="Y15" i="10"/>
  <c r="Y13" i="10"/>
  <c r="Y9" i="10"/>
  <c r="Y7" i="10"/>
  <c r="Y5" i="10"/>
  <c r="Y8" i="10"/>
  <c r="E58" i="8"/>
  <c r="G5" i="10" s="1"/>
  <c r="J175" i="8"/>
  <c r="AI175" i="8"/>
  <c r="Y175" i="8"/>
  <c r="I175" i="8"/>
  <c r="AH175" i="8"/>
  <c r="I73" i="8"/>
  <c r="G30" i="10" s="1"/>
  <c r="E175" i="8"/>
  <c r="R175" i="8"/>
  <c r="I58" i="8"/>
  <c r="G29" i="10" s="1"/>
  <c r="G73" i="8"/>
  <c r="G18" i="10" s="1"/>
  <c r="L159" i="8"/>
  <c r="BW159" i="8" s="1"/>
  <c r="X175" i="8"/>
  <c r="AA150" i="9"/>
  <c r="Z110" i="9"/>
  <c r="AA110" i="9" s="1"/>
  <c r="L124" i="8"/>
  <c r="BW124" i="8" s="1"/>
  <c r="L138" i="8"/>
  <c r="BW138" i="8" s="1"/>
  <c r="K175" i="8"/>
  <c r="U175" i="8"/>
  <c r="L45" i="8"/>
  <c r="BW45" i="8" s="1"/>
  <c r="P136" i="9"/>
  <c r="P175" i="8"/>
  <c r="AA175" i="8"/>
  <c r="L69" i="8"/>
  <c r="BW69" i="8" s="1"/>
  <c r="T122" i="8"/>
  <c r="BX122" i="8" s="1"/>
  <c r="CE122" i="8" s="1"/>
  <c r="L137" i="8"/>
  <c r="BW137" i="8" s="1"/>
  <c r="T150" i="8"/>
  <c r="BX150" i="8" s="1"/>
  <c r="CE150" i="8" s="1"/>
  <c r="T152" i="8"/>
  <c r="BX152" i="8" s="1"/>
  <c r="CE152" i="8" s="1"/>
  <c r="T154" i="8"/>
  <c r="BX154" i="8" s="1"/>
  <c r="CE154" i="8" s="1"/>
  <c r="T156" i="8"/>
  <c r="BX156" i="8" s="1"/>
  <c r="CE156" i="8" s="1"/>
  <c r="T158" i="8"/>
  <c r="BX158" i="8" s="1"/>
  <c r="CE158" i="8" s="1"/>
  <c r="AB153" i="8"/>
  <c r="BY153" i="8" s="1"/>
  <c r="CF153" i="8" s="1"/>
  <c r="AB161" i="8"/>
  <c r="BY161" i="8" s="1"/>
  <c r="CF161" i="8" s="1"/>
  <c r="AJ62" i="8"/>
  <c r="AJ76" i="8"/>
  <c r="L60" i="8"/>
  <c r="BW60" i="8" s="1"/>
  <c r="AJ61" i="8"/>
  <c r="T63" i="8"/>
  <c r="BX63" i="8" s="1"/>
  <c r="CE63" i="8" s="1"/>
  <c r="AB68" i="8"/>
  <c r="BY68" i="8" s="1"/>
  <c r="CF68" i="8" s="1"/>
  <c r="L82" i="8"/>
  <c r="BW82" i="8" s="1"/>
  <c r="L86" i="8"/>
  <c r="BW86" i="8" s="1"/>
  <c r="L88" i="8"/>
  <c r="BW88" i="8" s="1"/>
  <c r="L113" i="8"/>
  <c r="BW113" i="8" s="1"/>
  <c r="L129" i="8"/>
  <c r="BW129" i="8" s="1"/>
  <c r="L131" i="8"/>
  <c r="BW131" i="8" s="1"/>
  <c r="AB131" i="8"/>
  <c r="BY131" i="8" s="1"/>
  <c r="CF131" i="8" s="1"/>
  <c r="AB145" i="8"/>
  <c r="BY145" i="8" s="1"/>
  <c r="CF145" i="8" s="1"/>
  <c r="AJ160" i="8"/>
  <c r="AJ172" i="8"/>
  <c r="AJ173" i="8"/>
  <c r="AJ174" i="8"/>
  <c r="AB82" i="8"/>
  <c r="BY82" i="8" s="1"/>
  <c r="CF82" i="8" s="1"/>
  <c r="AB94" i="8"/>
  <c r="BY94" i="8" s="1"/>
  <c r="CF94" i="8" s="1"/>
  <c r="AB102" i="8"/>
  <c r="BY102" i="8" s="1"/>
  <c r="CF102" i="8" s="1"/>
  <c r="AB113" i="8"/>
  <c r="BY113" i="8" s="1"/>
  <c r="CF113" i="8" s="1"/>
  <c r="L40" i="8"/>
  <c r="BW40" i="8" s="1"/>
  <c r="AJ41" i="8"/>
  <c r="T51" i="8"/>
  <c r="BX51" i="8" s="1"/>
  <c r="CE51" i="8" s="1"/>
  <c r="AJ79" i="8"/>
  <c r="T44" i="8"/>
  <c r="BX44" i="8" s="1"/>
  <c r="CE44" i="8" s="1"/>
  <c r="AJ39" i="8"/>
  <c r="T67" i="8"/>
  <c r="BX67" i="8" s="1"/>
  <c r="CE67" i="8" s="1"/>
  <c r="L74" i="8"/>
  <c r="L75" i="8" s="1"/>
  <c r="AB78" i="8"/>
  <c r="BY78" i="8" s="1"/>
  <c r="CF78" i="8" s="1"/>
  <c r="AB80" i="8"/>
  <c r="BY80" i="8" s="1"/>
  <c r="CF80" i="8" s="1"/>
  <c r="AJ81" i="8"/>
  <c r="AJ93" i="8"/>
  <c r="L98" i="8"/>
  <c r="BW98" i="8" s="1"/>
  <c r="L109" i="8"/>
  <c r="AB109" i="8"/>
  <c r="AJ110" i="8"/>
  <c r="AJ116" i="8"/>
  <c r="T130" i="8"/>
  <c r="BX130" i="8" s="1"/>
  <c r="CE130" i="8" s="1"/>
  <c r="AB147" i="8"/>
  <c r="BY147" i="8" s="1"/>
  <c r="CF147" i="8" s="1"/>
  <c r="AB169" i="8"/>
  <c r="BY169" i="8" s="1"/>
  <c r="CF169" i="8" s="1"/>
  <c r="T38" i="8"/>
  <c r="BX38" i="8" s="1"/>
  <c r="CE38" i="8" s="1"/>
  <c r="AJ67" i="8"/>
  <c r="AB70" i="8"/>
  <c r="BY70" i="8" s="1"/>
  <c r="CF70" i="8" s="1"/>
  <c r="L89" i="8"/>
  <c r="BW89" i="8" s="1"/>
  <c r="L101" i="8"/>
  <c r="BW101" i="8" s="1"/>
  <c r="L105" i="8"/>
  <c r="BW105" i="8" s="1"/>
  <c r="AB115" i="8"/>
  <c r="BY115" i="8" s="1"/>
  <c r="CF115" i="8" s="1"/>
  <c r="AB37" i="8"/>
  <c r="BY37" i="8" s="1"/>
  <c r="AH58" i="8"/>
  <c r="J35" i="10" s="1"/>
  <c r="AJ63" i="8"/>
  <c r="L65" i="8"/>
  <c r="BW65" i="8" s="1"/>
  <c r="L67" i="8"/>
  <c r="BW67" i="8" s="1"/>
  <c r="T78" i="8"/>
  <c r="BX78" i="8" s="1"/>
  <c r="CE78" i="8" s="1"/>
  <c r="T96" i="8"/>
  <c r="BX96" i="8" s="1"/>
  <c r="CE96" i="8" s="1"/>
  <c r="T104" i="8"/>
  <c r="BX104" i="8" s="1"/>
  <c r="CE104" i="8" s="1"/>
  <c r="AJ124" i="8"/>
  <c r="AB125" i="8"/>
  <c r="BY125" i="8" s="1"/>
  <c r="CF125" i="8" s="1"/>
  <c r="AJ126" i="8"/>
  <c r="AJ144" i="8"/>
  <c r="AB165" i="8"/>
  <c r="BY165" i="8" s="1"/>
  <c r="CF165" i="8" s="1"/>
  <c r="AJ170" i="8"/>
  <c r="AJ171" i="8"/>
  <c r="L41" i="8"/>
  <c r="BW41" i="8" s="1"/>
  <c r="J58" i="8"/>
  <c r="G35" i="10" s="1"/>
  <c r="X58" i="8"/>
  <c r="I23" i="10" s="1"/>
  <c r="L81" i="8"/>
  <c r="BW81" i="8" s="1"/>
  <c r="AB83" i="8"/>
  <c r="BY83" i="8" s="1"/>
  <c r="CF83" i="8" s="1"/>
  <c r="AB89" i="8"/>
  <c r="BY89" i="8" s="1"/>
  <c r="CF89" i="8" s="1"/>
  <c r="AB101" i="8"/>
  <c r="BY101" i="8" s="1"/>
  <c r="CF101" i="8" s="1"/>
  <c r="T117" i="8"/>
  <c r="BX117" i="8" s="1"/>
  <c r="L118" i="8"/>
  <c r="BW118" i="8" s="1"/>
  <c r="L130" i="8"/>
  <c r="BW130" i="8" s="1"/>
  <c r="L44" i="8"/>
  <c r="BW44" i="8" s="1"/>
  <c r="L47" i="8"/>
  <c r="BW47" i="8" s="1"/>
  <c r="L51" i="8"/>
  <c r="BW51" i="8" s="1"/>
  <c r="T72" i="8"/>
  <c r="BX72" i="8" s="1"/>
  <c r="CE72" i="8" s="1"/>
  <c r="L79" i="8"/>
  <c r="BW79" i="8" s="1"/>
  <c r="L87" i="8"/>
  <c r="AJ92" i="8"/>
  <c r="AJ98" i="8"/>
  <c r="AJ100" i="8"/>
  <c r="L114" i="8"/>
  <c r="AB128" i="8"/>
  <c r="BY128" i="8" s="1"/>
  <c r="CF128" i="8" s="1"/>
  <c r="AB130" i="8"/>
  <c r="BY130" i="8" s="1"/>
  <c r="CF130" i="8" s="1"/>
  <c r="L169" i="8"/>
  <c r="BW169" i="8" s="1"/>
  <c r="T43" i="8"/>
  <c r="BX43" i="8" s="1"/>
  <c r="CE43" i="8" s="1"/>
  <c r="AJ96" i="8"/>
  <c r="AB124" i="8"/>
  <c r="BY124" i="8" s="1"/>
  <c r="CF124" i="8" s="1"/>
  <c r="AJ125" i="8"/>
  <c r="AL125" i="8" s="1"/>
  <c r="AB126" i="8"/>
  <c r="BY126" i="8" s="1"/>
  <c r="CF126" i="8" s="1"/>
  <c r="T127" i="8"/>
  <c r="BX127" i="8" s="1"/>
  <c r="CE127" i="8" s="1"/>
  <c r="AJ133" i="8"/>
  <c r="AJ137" i="8"/>
  <c r="T39" i="8"/>
  <c r="BX39" i="8" s="1"/>
  <c r="CE39" i="8" s="1"/>
  <c r="AB47" i="8"/>
  <c r="BY47" i="8" s="1"/>
  <c r="CF47" i="8" s="1"/>
  <c r="T50" i="8"/>
  <c r="BX50" i="8" s="1"/>
  <c r="CE50" i="8" s="1"/>
  <c r="T54" i="8"/>
  <c r="BX54" i="8" s="1"/>
  <c r="CE54" i="8" s="1"/>
  <c r="AJ57" i="8"/>
  <c r="M73" i="8"/>
  <c r="H6" i="10" s="1"/>
  <c r="AJ70" i="8"/>
  <c r="AB71" i="8"/>
  <c r="BY71" i="8" s="1"/>
  <c r="CF71" i="8" s="1"/>
  <c r="T85" i="8"/>
  <c r="BX85" i="8" s="1"/>
  <c r="CE85" i="8" s="1"/>
  <c r="T95" i="8"/>
  <c r="BX95" i="8" s="1"/>
  <c r="CE95" i="8" s="1"/>
  <c r="T112" i="8"/>
  <c r="BX112" i="8" s="1"/>
  <c r="CE112" i="8" s="1"/>
  <c r="L115" i="8"/>
  <c r="BW115" i="8" s="1"/>
  <c r="L117" i="8"/>
  <c r="BW117" i="8" s="1"/>
  <c r="AB122" i="8"/>
  <c r="BY122" i="8" s="1"/>
  <c r="CF122" i="8" s="1"/>
  <c r="L123" i="8"/>
  <c r="BW123" i="8" s="1"/>
  <c r="AJ131" i="8"/>
  <c r="AB132" i="8"/>
  <c r="BY132" i="8" s="1"/>
  <c r="CF132" i="8" s="1"/>
  <c r="L135" i="8"/>
  <c r="BW135" i="8" s="1"/>
  <c r="L147" i="8"/>
  <c r="BW147" i="8" s="1"/>
  <c r="L168" i="8"/>
  <c r="BW168" i="8" s="1"/>
  <c r="L170" i="8"/>
  <c r="BW170" i="8" s="1"/>
  <c r="AB170" i="8"/>
  <c r="BY170" i="8" s="1"/>
  <c r="CF170" i="8" s="1"/>
  <c r="AB171" i="8"/>
  <c r="BY171" i="8" s="1"/>
  <c r="CF171" i="8" s="1"/>
  <c r="AB172" i="8"/>
  <c r="BY172" i="8" s="1"/>
  <c r="CF172" i="8" s="1"/>
  <c r="K58" i="8"/>
  <c r="G41" i="10" s="1"/>
  <c r="Y58" i="8"/>
  <c r="I29" i="10" s="1"/>
  <c r="AI58" i="8"/>
  <c r="J41" i="10" s="1"/>
  <c r="AB42" i="8"/>
  <c r="BY42" i="8" s="1"/>
  <c r="CF42" i="8" s="1"/>
  <c r="L43" i="8"/>
  <c r="BW43" i="8" s="1"/>
  <c r="AJ43" i="8"/>
  <c r="AB44" i="8"/>
  <c r="BY44" i="8" s="1"/>
  <c r="CF44" i="8" s="1"/>
  <c r="T45" i="8"/>
  <c r="BX45" i="8" s="1"/>
  <c r="CE45" i="8" s="1"/>
  <c r="AJ48" i="8"/>
  <c r="AJ50" i="8"/>
  <c r="AB51" i="8"/>
  <c r="BY51" i="8" s="1"/>
  <c r="CF51" i="8" s="1"/>
  <c r="T52" i="8"/>
  <c r="BX52" i="8" s="1"/>
  <c r="CE52" i="8" s="1"/>
  <c r="AB55" i="8"/>
  <c r="BY55" i="8" s="1"/>
  <c r="CF55" i="8" s="1"/>
  <c r="AB57" i="8"/>
  <c r="BY57" i="8" s="1"/>
  <c r="CF57" i="8" s="1"/>
  <c r="AA73" i="8"/>
  <c r="I42" i="10" s="1"/>
  <c r="T66" i="8"/>
  <c r="BX66" i="8" s="1"/>
  <c r="CE66" i="8" s="1"/>
  <c r="T69" i="8"/>
  <c r="BX69" i="8" s="1"/>
  <c r="CE69" i="8" s="1"/>
  <c r="L70" i="8"/>
  <c r="BW70" i="8" s="1"/>
  <c r="L72" i="8"/>
  <c r="BW72" i="8" s="1"/>
  <c r="AJ72" i="8"/>
  <c r="AB77" i="8"/>
  <c r="BY77" i="8" s="1"/>
  <c r="CF77" i="8" s="1"/>
  <c r="L84" i="8"/>
  <c r="BW84" i="8" s="1"/>
  <c r="AJ86" i="8"/>
  <c r="AB91" i="8"/>
  <c r="BY91" i="8" s="1"/>
  <c r="CF91" i="8" s="1"/>
  <c r="T92" i="8"/>
  <c r="BX92" i="8" s="1"/>
  <c r="CE92" i="8" s="1"/>
  <c r="L93" i="8"/>
  <c r="BW93" i="8" s="1"/>
  <c r="T97" i="8"/>
  <c r="BX97" i="8" s="1"/>
  <c r="CE97" i="8" s="1"/>
  <c r="L100" i="8"/>
  <c r="BW100" i="8" s="1"/>
  <c r="AB103" i="8"/>
  <c r="BY103" i="8" s="1"/>
  <c r="CF103" i="8" s="1"/>
  <c r="L110" i="8"/>
  <c r="BW110" i="8" s="1"/>
  <c r="L112" i="8"/>
  <c r="BW112" i="8" s="1"/>
  <c r="AJ107" i="8"/>
  <c r="J56" i="10" s="1"/>
  <c r="AB118" i="8"/>
  <c r="BY118" i="8" s="1"/>
  <c r="CF118" i="8" s="1"/>
  <c r="T119" i="8"/>
  <c r="BX119" i="8" s="1"/>
  <c r="CE119" i="8" s="1"/>
  <c r="AB120" i="8"/>
  <c r="BY120" i="8" s="1"/>
  <c r="CF120" i="8" s="1"/>
  <c r="AJ121" i="8"/>
  <c r="T123" i="8"/>
  <c r="BX123" i="8" s="1"/>
  <c r="CE123" i="8" s="1"/>
  <c r="T125" i="8"/>
  <c r="BX125" i="8" s="1"/>
  <c r="CE125" i="8" s="1"/>
  <c r="L128" i="8"/>
  <c r="BW128" i="8" s="1"/>
  <c r="AB129" i="8"/>
  <c r="BY129" i="8" s="1"/>
  <c r="CF129" i="8" s="1"/>
  <c r="T132" i="8"/>
  <c r="BX132" i="8" s="1"/>
  <c r="CE132" i="8" s="1"/>
  <c r="L140" i="8"/>
  <c r="AJ142" i="8"/>
  <c r="T143" i="8"/>
  <c r="BX143" i="8" s="1"/>
  <c r="CE143" i="8" s="1"/>
  <c r="L144" i="8"/>
  <c r="BW144" i="8" s="1"/>
  <c r="L146" i="8"/>
  <c r="BW146" i="8" s="1"/>
  <c r="AJ146" i="8"/>
  <c r="T148" i="8"/>
  <c r="BX148" i="8" s="1"/>
  <c r="CE148" i="8" s="1"/>
  <c r="AJ148" i="8"/>
  <c r="AB151" i="8"/>
  <c r="BY151" i="8" s="1"/>
  <c r="CF151" i="8" s="1"/>
  <c r="L153" i="8"/>
  <c r="BW153" i="8" s="1"/>
  <c r="L155" i="8"/>
  <c r="BW155" i="8" s="1"/>
  <c r="L157" i="8"/>
  <c r="BW157" i="8" s="1"/>
  <c r="L161" i="8"/>
  <c r="BW161" i="8" s="1"/>
  <c r="AJ163" i="8"/>
  <c r="L165" i="8"/>
  <c r="BW165" i="8" s="1"/>
  <c r="M58" i="8"/>
  <c r="H5" i="10" s="1"/>
  <c r="Z58" i="8"/>
  <c r="I35" i="10" s="1"/>
  <c r="L38" i="8"/>
  <c r="BW38" i="8" s="1"/>
  <c r="AJ38" i="8"/>
  <c r="AB39" i="8"/>
  <c r="BY39" i="8" s="1"/>
  <c r="CF39" i="8" s="1"/>
  <c r="T40" i="8"/>
  <c r="BX40" i="8" s="1"/>
  <c r="CE40" i="8" s="1"/>
  <c r="T42" i="8"/>
  <c r="BX42" i="8" s="1"/>
  <c r="CE42" i="8" s="1"/>
  <c r="L46" i="8"/>
  <c r="BW46" i="8" s="1"/>
  <c r="L48" i="8"/>
  <c r="BW48" i="8" s="1"/>
  <c r="AB49" i="8"/>
  <c r="BY49" i="8" s="1"/>
  <c r="CF49" i="8" s="1"/>
  <c r="L50" i="8"/>
  <c r="BW50" i="8" s="1"/>
  <c r="AB53" i="8"/>
  <c r="BY53" i="8" s="1"/>
  <c r="CF53" i="8" s="1"/>
  <c r="AJ54" i="8"/>
  <c r="T56" i="8"/>
  <c r="BX56" i="8" s="1"/>
  <c r="CE56" i="8" s="1"/>
  <c r="T61" i="8"/>
  <c r="BX61" i="8" s="1"/>
  <c r="CE61" i="8" s="1"/>
  <c r="AB65" i="8"/>
  <c r="BY65" i="8" s="1"/>
  <c r="CF65" i="8" s="1"/>
  <c r="T71" i="8"/>
  <c r="BX71" i="8" s="1"/>
  <c r="CE71" i="8" s="1"/>
  <c r="AB74" i="8"/>
  <c r="H7" i="8" s="1"/>
  <c r="T80" i="8"/>
  <c r="BX80" i="8" s="1"/>
  <c r="CE80" i="8" s="1"/>
  <c r="AJ83" i="8"/>
  <c r="AB84" i="8"/>
  <c r="BY84" i="8" s="1"/>
  <c r="CF84" i="8" s="1"/>
  <c r="AB86" i="8"/>
  <c r="BY86" i="8" s="1"/>
  <c r="CF86" i="8" s="1"/>
  <c r="AJ90" i="8"/>
  <c r="T94" i="8"/>
  <c r="BX94" i="8" s="1"/>
  <c r="CE94" i="8" s="1"/>
  <c r="AJ95" i="8"/>
  <c r="AB96" i="8"/>
  <c r="BY96" i="8" s="1"/>
  <c r="CF96" i="8" s="1"/>
  <c r="T99" i="8"/>
  <c r="BX99" i="8" s="1"/>
  <c r="CE99" i="8" s="1"/>
  <c r="AJ102" i="8"/>
  <c r="AB105" i="8"/>
  <c r="BY105" i="8" s="1"/>
  <c r="CF105" i="8" s="1"/>
  <c r="T109" i="8"/>
  <c r="T111" i="8"/>
  <c r="BX111" i="8" s="1"/>
  <c r="CE111" i="8" s="1"/>
  <c r="AJ112" i="8"/>
  <c r="T116" i="8"/>
  <c r="BX116" i="8" s="1"/>
  <c r="CE116" i="8" s="1"/>
  <c r="J28" i="10"/>
  <c r="L119" i="8"/>
  <c r="BW119" i="8" s="1"/>
  <c r="AJ119" i="8"/>
  <c r="L126" i="8"/>
  <c r="BW126" i="8" s="1"/>
  <c r="AJ128" i="8"/>
  <c r="L133" i="8"/>
  <c r="BW133" i="8" s="1"/>
  <c r="AJ135" i="8"/>
  <c r="AJ139" i="8"/>
  <c r="AB140" i="8"/>
  <c r="BY140" i="8" s="1"/>
  <c r="CF140" i="8" s="1"/>
  <c r="T141" i="8"/>
  <c r="BX141" i="8" s="1"/>
  <c r="CE141" i="8" s="1"/>
  <c r="T145" i="8"/>
  <c r="BX145" i="8" s="1"/>
  <c r="CE145" i="8" s="1"/>
  <c r="AB149" i="8"/>
  <c r="BY149" i="8" s="1"/>
  <c r="CF149" i="8" s="1"/>
  <c r="AJ154" i="8"/>
  <c r="AB155" i="8"/>
  <c r="BY155" i="8" s="1"/>
  <c r="CF155" i="8" s="1"/>
  <c r="AJ156" i="8"/>
  <c r="AB157" i="8"/>
  <c r="BY157" i="8" s="1"/>
  <c r="CF157" i="8" s="1"/>
  <c r="AJ158" i="8"/>
  <c r="T162" i="8"/>
  <c r="BX162" i="8" s="1"/>
  <c r="CE162" i="8" s="1"/>
  <c r="T167" i="8"/>
  <c r="BX167" i="8" s="1"/>
  <c r="Z175" i="8"/>
  <c r="AB168" i="8"/>
  <c r="BY168" i="8" s="1"/>
  <c r="CF168" i="8" s="1"/>
  <c r="L171" i="8"/>
  <c r="BW171" i="8" s="1"/>
  <c r="L173" i="8"/>
  <c r="BW173" i="8" s="1"/>
  <c r="P58" i="8"/>
  <c r="H23" i="10" s="1"/>
  <c r="AA58" i="8"/>
  <c r="I41" i="10" s="1"/>
  <c r="AJ45" i="8"/>
  <c r="AB46" i="8"/>
  <c r="BY46" i="8" s="1"/>
  <c r="CF46" i="8" s="1"/>
  <c r="T49" i="8"/>
  <c r="BX49" i="8" s="1"/>
  <c r="CE49" i="8" s="1"/>
  <c r="L52" i="8"/>
  <c r="BW52" i="8" s="1"/>
  <c r="L56" i="8"/>
  <c r="BW56" i="8" s="1"/>
  <c r="AJ56" i="8"/>
  <c r="R73" i="8"/>
  <c r="H36" i="10" s="1"/>
  <c r="AB60" i="8"/>
  <c r="BY60" i="8" s="1"/>
  <c r="CF60" i="8" s="1"/>
  <c r="AJ66" i="8"/>
  <c r="AB67" i="8"/>
  <c r="BY67" i="8" s="1"/>
  <c r="CF67" i="8" s="1"/>
  <c r="AJ69" i="8"/>
  <c r="AJ78" i="8"/>
  <c r="AB81" i="8"/>
  <c r="BY81" i="8" s="1"/>
  <c r="CF81" i="8" s="1"/>
  <c r="L83" i="8"/>
  <c r="BW83" i="8" s="1"/>
  <c r="L85" i="8"/>
  <c r="BW85" i="8" s="1"/>
  <c r="AB88" i="8"/>
  <c r="BY88" i="8" s="1"/>
  <c r="CF88" i="8" s="1"/>
  <c r="T89" i="8"/>
  <c r="BX89" i="8" s="1"/>
  <c r="CE89" i="8" s="1"/>
  <c r="L92" i="8"/>
  <c r="BW92" i="8" s="1"/>
  <c r="L95" i="8"/>
  <c r="BW95" i="8" s="1"/>
  <c r="AJ97" i="8"/>
  <c r="AB100" i="8"/>
  <c r="BY100" i="8" s="1"/>
  <c r="CF100" i="8" s="1"/>
  <c r="T101" i="8"/>
  <c r="BX101" i="8" s="1"/>
  <c r="CE101" i="8" s="1"/>
  <c r="L102" i="8"/>
  <c r="BW102" i="8" s="1"/>
  <c r="L104" i="8"/>
  <c r="BW104" i="8" s="1"/>
  <c r="AB110" i="8"/>
  <c r="BY110" i="8" s="1"/>
  <c r="CF110" i="8" s="1"/>
  <c r="T113" i="8"/>
  <c r="BX113" i="8" s="1"/>
  <c r="CE113" i="8" s="1"/>
  <c r="T114" i="8"/>
  <c r="BX114" i="8" s="1"/>
  <c r="CE114" i="8" s="1"/>
  <c r="AJ132" i="8"/>
  <c r="AB133" i="8"/>
  <c r="BY133" i="8" s="1"/>
  <c r="CF133" i="8" s="1"/>
  <c r="AB135" i="8"/>
  <c r="BY135" i="8" s="1"/>
  <c r="CF135" i="8" s="1"/>
  <c r="AB137" i="8"/>
  <c r="BY137" i="8" s="1"/>
  <c r="CF137" i="8" s="1"/>
  <c r="T138" i="8"/>
  <c r="BX138" i="8" s="1"/>
  <c r="CE138" i="8" s="1"/>
  <c r="AJ143" i="8"/>
  <c r="AB144" i="8"/>
  <c r="BY144" i="8" s="1"/>
  <c r="CF144" i="8" s="1"/>
  <c r="L148" i="8"/>
  <c r="BW148" i="8" s="1"/>
  <c r="T149" i="8"/>
  <c r="BX149" i="8" s="1"/>
  <c r="CE149" i="8" s="1"/>
  <c r="AJ150" i="8"/>
  <c r="T164" i="8"/>
  <c r="BX164" i="8" s="1"/>
  <c r="CE164" i="8" s="1"/>
  <c r="L172" i="8"/>
  <c r="BW172" i="8" s="1"/>
  <c r="L174" i="8"/>
  <c r="BW174" i="8" s="1"/>
  <c r="Q58" i="8"/>
  <c r="H29" i="10" s="1"/>
  <c r="AJ40" i="8"/>
  <c r="AB41" i="8"/>
  <c r="BY41" i="8" s="1"/>
  <c r="CF41" i="8" s="1"/>
  <c r="AJ42" i="8"/>
  <c r="AB43" i="8"/>
  <c r="BY43" i="8" s="1"/>
  <c r="CF43" i="8" s="1"/>
  <c r="T47" i="8"/>
  <c r="BX47" i="8" s="1"/>
  <c r="CE47" i="8" s="1"/>
  <c r="AB50" i="8"/>
  <c r="BY50" i="8" s="1"/>
  <c r="CF50" i="8" s="1"/>
  <c r="AJ52" i="8"/>
  <c r="T53" i="8"/>
  <c r="BX53" i="8" s="1"/>
  <c r="CE53" i="8" s="1"/>
  <c r="L54" i="8"/>
  <c r="BW54" i="8" s="1"/>
  <c r="S73" i="8"/>
  <c r="H42" i="10" s="1"/>
  <c r="L64" i="8"/>
  <c r="BW64" i="8" s="1"/>
  <c r="T68" i="8"/>
  <c r="BX68" i="8" s="1"/>
  <c r="CE68" i="8" s="1"/>
  <c r="AJ71" i="8"/>
  <c r="AB72" i="8"/>
  <c r="BY72" i="8" s="1"/>
  <c r="CF72" i="8" s="1"/>
  <c r="AB76" i="8"/>
  <c r="L78" i="8"/>
  <c r="BW78" i="8" s="1"/>
  <c r="AB79" i="8"/>
  <c r="BY79" i="8" s="1"/>
  <c r="CF79" i="8" s="1"/>
  <c r="AJ80" i="8"/>
  <c r="T84" i="8"/>
  <c r="BX84" i="8" s="1"/>
  <c r="CE84" i="8" s="1"/>
  <c r="AJ85" i="8"/>
  <c r="T87" i="8"/>
  <c r="BX87" i="8" s="1"/>
  <c r="CE87" i="8" s="1"/>
  <c r="L90" i="8"/>
  <c r="BW90" i="8" s="1"/>
  <c r="L97" i="8"/>
  <c r="BW97" i="8" s="1"/>
  <c r="AB98" i="8"/>
  <c r="BY98" i="8" s="1"/>
  <c r="CF98" i="8" s="1"/>
  <c r="AJ99" i="8"/>
  <c r="T103" i="8"/>
  <c r="BX103" i="8" s="1"/>
  <c r="CE103" i="8" s="1"/>
  <c r="AJ104" i="8"/>
  <c r="AJ109" i="8"/>
  <c r="AJ111" i="8"/>
  <c r="AB112" i="8"/>
  <c r="BY112" i="8" s="1"/>
  <c r="CF112" i="8" s="1"/>
  <c r="T118" i="8"/>
  <c r="BX118" i="8" s="1"/>
  <c r="CE118" i="8" s="1"/>
  <c r="AB119" i="8"/>
  <c r="BY119" i="8" s="1"/>
  <c r="CF119" i="8" s="1"/>
  <c r="T120" i="8"/>
  <c r="BX120" i="8" s="1"/>
  <c r="CE120" i="8" s="1"/>
  <c r="L121" i="8"/>
  <c r="BW121" i="8" s="1"/>
  <c r="AJ123" i="8"/>
  <c r="L127" i="8"/>
  <c r="BW127" i="8" s="1"/>
  <c r="AJ127" i="8"/>
  <c r="AJ130" i="8"/>
  <c r="T134" i="8"/>
  <c r="BX134" i="8" s="1"/>
  <c r="CE134" i="8" s="1"/>
  <c r="AJ134" i="8"/>
  <c r="T136" i="8"/>
  <c r="BX136" i="8" s="1"/>
  <c r="CE136" i="8" s="1"/>
  <c r="AJ136" i="8"/>
  <c r="AB138" i="8"/>
  <c r="BY138" i="8" s="1"/>
  <c r="CF138" i="8" s="1"/>
  <c r="L139" i="8"/>
  <c r="BW139" i="8" s="1"/>
  <c r="T140" i="8"/>
  <c r="BX140" i="8" s="1"/>
  <c r="CE140" i="8" s="1"/>
  <c r="AJ141" i="8"/>
  <c r="T147" i="8"/>
  <c r="BX147" i="8" s="1"/>
  <c r="CE147" i="8" s="1"/>
  <c r="L150" i="8"/>
  <c r="BW150" i="8" s="1"/>
  <c r="L152" i="8"/>
  <c r="BW152" i="8" s="1"/>
  <c r="AJ152" i="8"/>
  <c r="T153" i="8"/>
  <c r="BX153" i="8" s="1"/>
  <c r="CE153" i="8" s="1"/>
  <c r="L154" i="8"/>
  <c r="BW154" i="8" s="1"/>
  <c r="T155" i="8"/>
  <c r="BX155" i="8" s="1"/>
  <c r="CE155" i="8" s="1"/>
  <c r="L156" i="8"/>
  <c r="BW156" i="8" s="1"/>
  <c r="T157" i="8"/>
  <c r="BX157" i="8" s="1"/>
  <c r="CE157" i="8" s="1"/>
  <c r="L158" i="8"/>
  <c r="BW158" i="8" s="1"/>
  <c r="AB159" i="8"/>
  <c r="BY159" i="8" s="1"/>
  <c r="CF159" i="8" s="1"/>
  <c r="AJ162" i="8"/>
  <c r="L164" i="8"/>
  <c r="BW164" i="8" s="1"/>
  <c r="Q175" i="8"/>
  <c r="AB167" i="8"/>
  <c r="BY167" i="8" s="1"/>
  <c r="T168" i="8"/>
  <c r="BX168" i="8" s="1"/>
  <c r="CE168" i="8" s="1"/>
  <c r="T169" i="8"/>
  <c r="BX169" i="8" s="1"/>
  <c r="CE169" i="8" s="1"/>
  <c r="AB173" i="8"/>
  <c r="BY173" i="8" s="1"/>
  <c r="CF173" i="8" s="1"/>
  <c r="AB174" i="8"/>
  <c r="BY174" i="8" s="1"/>
  <c r="CF174" i="8" s="1"/>
  <c r="R58" i="8"/>
  <c r="H35" i="10" s="1"/>
  <c r="AJ37" i="8"/>
  <c r="AB38" i="8"/>
  <c r="BY38" i="8" s="1"/>
  <c r="T46" i="8"/>
  <c r="BX46" i="8" s="1"/>
  <c r="CE46" i="8" s="1"/>
  <c r="AB48" i="8"/>
  <c r="BY48" i="8" s="1"/>
  <c r="CF48" i="8" s="1"/>
  <c r="AJ49" i="8"/>
  <c r="AB52" i="8"/>
  <c r="BY52" i="8" s="1"/>
  <c r="CF52" i="8" s="1"/>
  <c r="T55" i="8"/>
  <c r="BX55" i="8" s="1"/>
  <c r="CE55" i="8" s="1"/>
  <c r="AB56" i="8"/>
  <c r="BY56" i="8" s="1"/>
  <c r="CF56" i="8" s="1"/>
  <c r="T57" i="8"/>
  <c r="BX57" i="8" s="1"/>
  <c r="CE57" i="8" s="1"/>
  <c r="T60" i="8"/>
  <c r="BX60" i="8" s="1"/>
  <c r="CE60" i="8" s="1"/>
  <c r="L66" i="8"/>
  <c r="BW66" i="8" s="1"/>
  <c r="T70" i="8"/>
  <c r="BX70" i="8" s="1"/>
  <c r="CE70" i="8" s="1"/>
  <c r="T82" i="8"/>
  <c r="BX82" i="8" s="1"/>
  <c r="CE82" i="8" s="1"/>
  <c r="AB92" i="8"/>
  <c r="BY92" i="8" s="1"/>
  <c r="CF92" i="8" s="1"/>
  <c r="AJ94" i="8"/>
  <c r="AB95" i="8"/>
  <c r="BY95" i="8" s="1"/>
  <c r="CF95" i="8" s="1"/>
  <c r="L99" i="8"/>
  <c r="BW99" i="8" s="1"/>
  <c r="AJ101" i="8"/>
  <c r="T105" i="8"/>
  <c r="BX105" i="8" s="1"/>
  <c r="CE105" i="8" s="1"/>
  <c r="L111" i="8"/>
  <c r="BW111" i="8" s="1"/>
  <c r="AJ113" i="8"/>
  <c r="J46" i="10"/>
  <c r="AB121" i="8"/>
  <c r="BY121" i="8" s="1"/>
  <c r="CF121" i="8" s="1"/>
  <c r="AB123" i="8"/>
  <c r="BY123" i="8" s="1"/>
  <c r="CF123" i="8" s="1"/>
  <c r="L125" i="8"/>
  <c r="BW125" i="8" s="1"/>
  <c r="T129" i="8"/>
  <c r="BX129" i="8" s="1"/>
  <c r="CE129" i="8" s="1"/>
  <c r="L132" i="8"/>
  <c r="BW132" i="8" s="1"/>
  <c r="L134" i="8"/>
  <c r="BW134" i="8" s="1"/>
  <c r="L136" i="8"/>
  <c r="BW136" i="8" s="1"/>
  <c r="AJ138" i="8"/>
  <c r="L143" i="8"/>
  <c r="BW143" i="8" s="1"/>
  <c r="T144" i="8"/>
  <c r="BX144" i="8" s="1"/>
  <c r="CE144" i="8" s="1"/>
  <c r="AB146" i="8"/>
  <c r="BY146" i="8" s="1"/>
  <c r="CF146" i="8" s="1"/>
  <c r="AB148" i="8"/>
  <c r="BY148" i="8" s="1"/>
  <c r="CF148" i="8" s="1"/>
  <c r="AJ149" i="8"/>
  <c r="AB150" i="8"/>
  <c r="BY150" i="8" s="1"/>
  <c r="CF150" i="8" s="1"/>
  <c r="L160" i="8"/>
  <c r="BW160" i="8" s="1"/>
  <c r="T165" i="8"/>
  <c r="BX165" i="8" s="1"/>
  <c r="CE165" i="8" s="1"/>
  <c r="AC175" i="8"/>
  <c r="L37" i="8"/>
  <c r="BW37" i="8" s="1"/>
  <c r="S58" i="8"/>
  <c r="H41" i="10" s="1"/>
  <c r="AF58" i="8"/>
  <c r="J23" i="10" s="1"/>
  <c r="T41" i="8"/>
  <c r="BX41" i="8" s="1"/>
  <c r="CE41" i="8" s="1"/>
  <c r="L42" i="8"/>
  <c r="BW42" i="8" s="1"/>
  <c r="AB45" i="8"/>
  <c r="BY45" i="8" s="1"/>
  <c r="CF45" i="8" s="1"/>
  <c r="AJ53" i="8"/>
  <c r="AJ55" i="8"/>
  <c r="AI73" i="8"/>
  <c r="J42" i="10" s="1"/>
  <c r="AB64" i="8"/>
  <c r="BY64" i="8" s="1"/>
  <c r="CF64" i="8" s="1"/>
  <c r="AJ68" i="8"/>
  <c r="AJ74" i="8"/>
  <c r="T77" i="8"/>
  <c r="BX77" i="8" s="1"/>
  <c r="CE77" i="8" s="1"/>
  <c r="T79" i="8"/>
  <c r="BX79" i="8" s="1"/>
  <c r="CE79" i="8" s="1"/>
  <c r="L80" i="8"/>
  <c r="BW80" i="8" s="1"/>
  <c r="AJ82" i="8"/>
  <c r="AJ84" i="8"/>
  <c r="AB85" i="8"/>
  <c r="BY85" i="8" s="1"/>
  <c r="CF85" i="8" s="1"/>
  <c r="T86" i="8"/>
  <c r="BX86" i="8" s="1"/>
  <c r="CE86" i="8" s="1"/>
  <c r="AJ87" i="8"/>
  <c r="T88" i="8"/>
  <c r="BX88" i="8" s="1"/>
  <c r="CE88" i="8" s="1"/>
  <c r="AB90" i="8"/>
  <c r="BY90" i="8" s="1"/>
  <c r="CF90" i="8" s="1"/>
  <c r="AJ91" i="8"/>
  <c r="L94" i="8"/>
  <c r="BW94" i="8" s="1"/>
  <c r="AB97" i="8"/>
  <c r="BY97" i="8" s="1"/>
  <c r="CF97" i="8" s="1"/>
  <c r="T98" i="8"/>
  <c r="BX98" i="8" s="1"/>
  <c r="CE98" i="8" s="1"/>
  <c r="AJ103" i="8"/>
  <c r="AB104" i="8"/>
  <c r="BY104" i="8" s="1"/>
  <c r="CF104" i="8" s="1"/>
  <c r="T110" i="8"/>
  <c r="BX110" i="8" s="1"/>
  <c r="CE110" i="8" s="1"/>
  <c r="AB114" i="8"/>
  <c r="BY114" i="8" s="1"/>
  <c r="CF114" i="8" s="1"/>
  <c r="I34" i="10"/>
  <c r="AJ118" i="8"/>
  <c r="T126" i="8"/>
  <c r="BX126" i="8" s="1"/>
  <c r="CE126" i="8" s="1"/>
  <c r="AB127" i="8"/>
  <c r="BY127" i="8" s="1"/>
  <c r="CF127" i="8" s="1"/>
  <c r="T128" i="8"/>
  <c r="BX128" i="8" s="1"/>
  <c r="CE128" i="8" s="1"/>
  <c r="AJ129" i="8"/>
  <c r="T133" i="8"/>
  <c r="BX133" i="8" s="1"/>
  <c r="CE133" i="8" s="1"/>
  <c r="T135" i="8"/>
  <c r="BX135" i="8" s="1"/>
  <c r="CE135" i="8" s="1"/>
  <c r="AB139" i="8"/>
  <c r="BY139" i="8" s="1"/>
  <c r="CF139" i="8" s="1"/>
  <c r="AB141" i="8"/>
  <c r="BY141" i="8" s="1"/>
  <c r="CF141" i="8" s="1"/>
  <c r="T151" i="8"/>
  <c r="BX151" i="8" s="1"/>
  <c r="CE151" i="8" s="1"/>
  <c r="AB152" i="8"/>
  <c r="BY152" i="8" s="1"/>
  <c r="CF152" i="8" s="1"/>
  <c r="AJ153" i="8"/>
  <c r="AJ155" i="8"/>
  <c r="AJ157" i="8"/>
  <c r="T163" i="8"/>
  <c r="BX163" i="8" s="1"/>
  <c r="CE163" i="8" s="1"/>
  <c r="S175" i="8"/>
  <c r="AF175" i="8"/>
  <c r="AJ168" i="8"/>
  <c r="T170" i="8"/>
  <c r="BX170" i="8" s="1"/>
  <c r="CE170" i="8" s="1"/>
  <c r="T171" i="8"/>
  <c r="BX171" i="8" s="1"/>
  <c r="CE171" i="8" s="1"/>
  <c r="T172" i="8"/>
  <c r="BX172" i="8" s="1"/>
  <c r="CE172" i="8" s="1"/>
  <c r="T173" i="8"/>
  <c r="BX173" i="8" s="1"/>
  <c r="CE173" i="8" s="1"/>
  <c r="T174" i="8"/>
  <c r="BX174" i="8" s="1"/>
  <c r="CE174" i="8" s="1"/>
  <c r="U58" i="8"/>
  <c r="I5" i="10" s="1"/>
  <c r="AG58" i="8"/>
  <c r="J29" i="10" s="1"/>
  <c r="L39" i="8"/>
  <c r="BW39" i="8" s="1"/>
  <c r="AB40" i="8"/>
  <c r="BY40" i="8" s="1"/>
  <c r="CF40" i="8" s="1"/>
  <c r="AJ44" i="8"/>
  <c r="AJ46" i="8"/>
  <c r="AJ47" i="8"/>
  <c r="T48" i="8"/>
  <c r="BX48" i="8" s="1"/>
  <c r="CE48" i="8" s="1"/>
  <c r="L49" i="8"/>
  <c r="BW49" i="8" s="1"/>
  <c r="AJ51" i="8"/>
  <c r="L53" i="8"/>
  <c r="BW53" i="8" s="1"/>
  <c r="AB54" i="8"/>
  <c r="BY54" i="8" s="1"/>
  <c r="CF54" i="8" s="1"/>
  <c r="L55" i="8"/>
  <c r="BW55" i="8" s="1"/>
  <c r="L57" i="8"/>
  <c r="BW57" i="8" s="1"/>
  <c r="Y73" i="8"/>
  <c r="I30" i="10" s="1"/>
  <c r="T62" i="8"/>
  <c r="BX62" i="8" s="1"/>
  <c r="CE62" i="8" s="1"/>
  <c r="AB66" i="8"/>
  <c r="BY66" i="8" s="1"/>
  <c r="CF66" i="8" s="1"/>
  <c r="L71" i="8"/>
  <c r="L77" i="8"/>
  <c r="BW77" i="8" s="1"/>
  <c r="AJ77" i="8"/>
  <c r="T81" i="8"/>
  <c r="BX81" i="8" s="1"/>
  <c r="CE81" i="8" s="1"/>
  <c r="T83" i="8"/>
  <c r="BX83" i="8" s="1"/>
  <c r="CE83" i="8" s="1"/>
  <c r="L96" i="8"/>
  <c r="AB99" i="8"/>
  <c r="BY99" i="8" s="1"/>
  <c r="CF99" i="8" s="1"/>
  <c r="T100" i="8"/>
  <c r="BX100" i="8" s="1"/>
  <c r="CE100" i="8" s="1"/>
  <c r="T102" i="8"/>
  <c r="BX102" i="8" s="1"/>
  <c r="CE102" i="8" s="1"/>
  <c r="L103" i="8"/>
  <c r="BW103" i="8" s="1"/>
  <c r="AJ105" i="8"/>
  <c r="AB111" i="8"/>
  <c r="BY111" i="8" s="1"/>
  <c r="CF111" i="8" s="1"/>
  <c r="AB116" i="8"/>
  <c r="BY116" i="8" s="1"/>
  <c r="CF116" i="8" s="1"/>
  <c r="H10" i="10"/>
  <c r="I40" i="10"/>
  <c r="L120" i="8"/>
  <c r="BW120" i="8" s="1"/>
  <c r="AJ120" i="8"/>
  <c r="T121" i="8"/>
  <c r="BX121" i="8" s="1"/>
  <c r="CE121" i="8" s="1"/>
  <c r="L122" i="8"/>
  <c r="BW122" i="8" s="1"/>
  <c r="AJ122" i="8"/>
  <c r="T124" i="8"/>
  <c r="BX124" i="8" s="1"/>
  <c r="CE124" i="8" s="1"/>
  <c r="T131" i="8"/>
  <c r="BX131" i="8" s="1"/>
  <c r="CE131" i="8" s="1"/>
  <c r="AB134" i="8"/>
  <c r="BY134" i="8" s="1"/>
  <c r="CF134" i="8" s="1"/>
  <c r="AB136" i="8"/>
  <c r="BY136" i="8" s="1"/>
  <c r="CF136" i="8" s="1"/>
  <c r="AB143" i="8"/>
  <c r="BY143" i="8" s="1"/>
  <c r="CF143" i="8" s="1"/>
  <c r="L145" i="8"/>
  <c r="BW145" i="8" s="1"/>
  <c r="T146" i="8"/>
  <c r="BX146" i="8" s="1"/>
  <c r="CE146" i="8" s="1"/>
  <c r="AJ147" i="8"/>
  <c r="L149" i="8"/>
  <c r="BW149" i="8" s="1"/>
  <c r="L151" i="8"/>
  <c r="BW151" i="8" s="1"/>
  <c r="AJ151" i="8"/>
  <c r="AB154" i="8"/>
  <c r="BY154" i="8" s="1"/>
  <c r="CF154" i="8" s="1"/>
  <c r="AB156" i="8"/>
  <c r="BY156" i="8" s="1"/>
  <c r="CF156" i="8" s="1"/>
  <c r="AB158" i="8"/>
  <c r="BY158" i="8" s="1"/>
  <c r="CF158" i="8" s="1"/>
  <c r="AB160" i="8"/>
  <c r="BY160" i="8" s="1"/>
  <c r="CF160" i="8" s="1"/>
  <c r="AJ161" i="8"/>
  <c r="AB164" i="8"/>
  <c r="BY164" i="8" s="1"/>
  <c r="CF164" i="8" s="1"/>
  <c r="AJ165" i="8"/>
  <c r="AG175" i="8"/>
  <c r="AJ169" i="8"/>
  <c r="G14" i="3"/>
  <c r="G12" i="3"/>
  <c r="H12" i="3"/>
  <c r="I12" i="3"/>
  <c r="H29" i="3"/>
  <c r="E73" i="8"/>
  <c r="G6" i="10" s="1"/>
  <c r="Q73" i="8"/>
  <c r="H30" i="10" s="1"/>
  <c r="AB63" i="8"/>
  <c r="BY63" i="8" s="1"/>
  <c r="CF63" i="8" s="1"/>
  <c r="AB59" i="8"/>
  <c r="AJ59" i="8"/>
  <c r="AC73" i="8"/>
  <c r="J6" i="10" s="1"/>
  <c r="L68" i="8"/>
  <c r="BW68" i="8" s="1"/>
  <c r="T37" i="8"/>
  <c r="AC58" i="8"/>
  <c r="J5" i="10" s="1"/>
  <c r="J73" i="8"/>
  <c r="G36" i="10" s="1"/>
  <c r="T59" i="8"/>
  <c r="AF73" i="8"/>
  <c r="J24" i="10" s="1"/>
  <c r="AJ60" i="8"/>
  <c r="K73" i="8"/>
  <c r="G42" i="10" s="1"/>
  <c r="U73" i="8"/>
  <c r="I6" i="10" s="1"/>
  <c r="AG73" i="8"/>
  <c r="J30" i="10" s="1"/>
  <c r="L61" i="8"/>
  <c r="BW61" i="8" s="1"/>
  <c r="L62" i="8"/>
  <c r="BW62" i="8" s="1"/>
  <c r="T64" i="8"/>
  <c r="BX64" i="8" s="1"/>
  <c r="CE64" i="8" s="1"/>
  <c r="T65" i="8"/>
  <c r="BX65" i="8" s="1"/>
  <c r="CE65" i="8" s="1"/>
  <c r="AB69" i="8"/>
  <c r="BY69" i="8" s="1"/>
  <c r="CF69" i="8" s="1"/>
  <c r="L59" i="8"/>
  <c r="X73" i="8"/>
  <c r="I24" i="10" s="1"/>
  <c r="AH73" i="8"/>
  <c r="J36" i="10" s="1"/>
  <c r="L63" i="8"/>
  <c r="BW63" i="8" s="1"/>
  <c r="P73" i="8"/>
  <c r="H24" i="10" s="1"/>
  <c r="Z73" i="8"/>
  <c r="I36" i="10" s="1"/>
  <c r="AB61" i="8"/>
  <c r="BY61" i="8" s="1"/>
  <c r="CF61" i="8" s="1"/>
  <c r="AB62" i="8"/>
  <c r="BY62" i="8" s="1"/>
  <c r="CF62" i="8" s="1"/>
  <c r="AJ64" i="8"/>
  <c r="AJ65" i="8"/>
  <c r="T74" i="8"/>
  <c r="L76" i="8"/>
  <c r="AJ88" i="8"/>
  <c r="AJ89" i="8"/>
  <c r="L91" i="8"/>
  <c r="BW91" i="8" s="1"/>
  <c r="X75" i="8"/>
  <c r="I25" i="10" s="1"/>
  <c r="K25" i="10" s="1"/>
  <c r="AB87" i="8"/>
  <c r="BY87" i="8" s="1"/>
  <c r="CF87" i="8" s="1"/>
  <c r="AB93" i="8"/>
  <c r="BY93" i="8" s="1"/>
  <c r="CF93" i="8" s="1"/>
  <c r="T91" i="8"/>
  <c r="BX91" i="8" s="1"/>
  <c r="CE91" i="8" s="1"/>
  <c r="T76" i="8"/>
  <c r="T90" i="8"/>
  <c r="BX90" i="8" s="1"/>
  <c r="CE90" i="8" s="1"/>
  <c r="T93" i="8"/>
  <c r="BX93" i="8" s="1"/>
  <c r="CE93" i="8" s="1"/>
  <c r="T115" i="8"/>
  <c r="BX115" i="8" s="1"/>
  <c r="CE115" i="8" s="1"/>
  <c r="AB107" i="8"/>
  <c r="I56" i="10" s="1"/>
  <c r="AJ115" i="8"/>
  <c r="L116" i="8"/>
  <c r="BW116" i="8" s="1"/>
  <c r="G40" i="10"/>
  <c r="L107" i="8"/>
  <c r="G56" i="10" s="1"/>
  <c r="AJ117" i="8"/>
  <c r="AJ114" i="8"/>
  <c r="H28" i="10"/>
  <c r="T107" i="8"/>
  <c r="H56" i="10" s="1"/>
  <c r="AG108" i="8"/>
  <c r="J33" i="10" s="1"/>
  <c r="I28" i="10"/>
  <c r="J40" i="10"/>
  <c r="AJ140" i="8"/>
  <c r="AB142" i="8"/>
  <c r="BY142" i="8" s="1"/>
  <c r="CF142" i="8" s="1"/>
  <c r="G10" i="10"/>
  <c r="H34" i="10"/>
  <c r="I46" i="10"/>
  <c r="T137" i="8"/>
  <c r="BX137" i="8" s="1"/>
  <c r="CE137" i="8" s="1"/>
  <c r="T139" i="8"/>
  <c r="BX139" i="8" s="1"/>
  <c r="CE139" i="8" s="1"/>
  <c r="L141" i="8"/>
  <c r="BW141" i="8" s="1"/>
  <c r="G22" i="10"/>
  <c r="H40" i="10"/>
  <c r="AB117" i="8"/>
  <c r="T142" i="8"/>
  <c r="BX142" i="8" s="1"/>
  <c r="CE142" i="8" s="1"/>
  <c r="G34" i="10"/>
  <c r="H46" i="10"/>
  <c r="J10" i="10"/>
  <c r="L142" i="8"/>
  <c r="BW142" i="8" s="1"/>
  <c r="AJ145" i="8"/>
  <c r="G46" i="10"/>
  <c r="I10" i="10"/>
  <c r="J34" i="10"/>
  <c r="L162" i="8"/>
  <c r="BW162" i="8" s="1"/>
  <c r="AJ159" i="8"/>
  <c r="T160" i="8"/>
  <c r="BX160" i="8" s="1"/>
  <c r="CE160" i="8" s="1"/>
  <c r="T161" i="8"/>
  <c r="BX161" i="8" s="1"/>
  <c r="CE161" i="8" s="1"/>
  <c r="AB162" i="8"/>
  <c r="BY162" i="8" s="1"/>
  <c r="CF162" i="8" s="1"/>
  <c r="AJ164" i="8"/>
  <c r="L163" i="8"/>
  <c r="BW163" i="8" s="1"/>
  <c r="T159" i="8"/>
  <c r="BX159" i="8" s="1"/>
  <c r="CE159" i="8" s="1"/>
  <c r="AB163" i="8"/>
  <c r="BY163" i="8" s="1"/>
  <c r="CF163" i="8" s="1"/>
  <c r="E177" i="9"/>
  <c r="AC177" i="9"/>
  <c r="AK177" i="9"/>
  <c r="AS177" i="9"/>
  <c r="BA177" i="9"/>
  <c r="U136" i="9"/>
  <c r="G177" i="9"/>
  <c r="R177" i="9"/>
  <c r="L167" i="8"/>
  <c r="BW167" i="8" s="1"/>
  <c r="P146" i="9"/>
  <c r="H150" i="9"/>
  <c r="S177" i="9"/>
  <c r="Y177" i="9"/>
  <c r="M175" i="8"/>
  <c r="AJ167" i="8"/>
  <c r="P5" i="9"/>
  <c r="AF177" i="9"/>
  <c r="AN177" i="9"/>
  <c r="AV177" i="9"/>
  <c r="P89" i="9"/>
  <c r="K110" i="9"/>
  <c r="M110" i="9" s="1"/>
  <c r="U146" i="9"/>
  <c r="I177" i="9"/>
  <c r="Q177" i="9"/>
  <c r="U177" i="9" s="1"/>
  <c r="AG177" i="9"/>
  <c r="AO177" i="9"/>
  <c r="AW177" i="9"/>
  <c r="AA92" i="9"/>
  <c r="F98" i="9"/>
  <c r="H98" i="9" s="1"/>
  <c r="T177" i="9"/>
  <c r="AA170" i="9"/>
  <c r="K177" i="9"/>
  <c r="M177" i="9" s="1"/>
  <c r="P110" i="9"/>
  <c r="L177" i="9"/>
  <c r="O177" i="9"/>
  <c r="P177" i="9" s="1"/>
  <c r="Z177" i="9"/>
  <c r="D177" i="9"/>
  <c r="F177" i="9" s="1"/>
  <c r="H177" i="9" s="1"/>
  <c r="AB177" i="9"/>
  <c r="AJ177" i="9"/>
  <c r="AR177" i="9"/>
  <c r="AZ177" i="9"/>
  <c r="P87" i="9"/>
  <c r="U92" i="9"/>
  <c r="P150" i="9"/>
  <c r="X177" i="9"/>
  <c r="U170" i="9"/>
  <c r="P155" i="9"/>
  <c r="P111" i="9"/>
  <c r="P137" i="9"/>
  <c r="W177" i="9"/>
  <c r="AJ106" i="8" l="1"/>
  <c r="T106" i="8"/>
  <c r="L106" i="8"/>
  <c r="BY76" i="8"/>
  <c r="BY106" i="8" s="1"/>
  <c r="AB106" i="8"/>
  <c r="AJ166" i="8"/>
  <c r="BX109" i="8"/>
  <c r="T166" i="8"/>
  <c r="BY109" i="8"/>
  <c r="AB166" i="8"/>
  <c r="BW109" i="8"/>
  <c r="L166" i="8"/>
  <c r="J64" i="10"/>
  <c r="N56" i="10"/>
  <c r="AB56" i="10" s="1"/>
  <c r="G57" i="10"/>
  <c r="L56" i="10"/>
  <c r="S56" i="10" s="1"/>
  <c r="K56" i="10"/>
  <c r="R56" i="10" s="1"/>
  <c r="Q56" i="10"/>
  <c r="AE56" i="10" s="1"/>
  <c r="J57" i="10"/>
  <c r="Q57" i="10" s="1"/>
  <c r="AE57" i="10" s="1"/>
  <c r="AH57" i="10" s="1"/>
  <c r="P56" i="10"/>
  <c r="AD56" i="10" s="1"/>
  <c r="I57" i="10"/>
  <c r="P57" i="10" s="1"/>
  <c r="AD57" i="10" s="1"/>
  <c r="J66" i="10"/>
  <c r="O56" i="10"/>
  <c r="AC56" i="10" s="1"/>
  <c r="H57" i="10"/>
  <c r="O57" i="10" s="1"/>
  <c r="AC57" i="10" s="1"/>
  <c r="H66" i="10"/>
  <c r="H64" i="10"/>
  <c r="L39" i="10"/>
  <c r="K37" i="10"/>
  <c r="K39" i="10"/>
  <c r="L37" i="10"/>
  <c r="G66" i="10"/>
  <c r="I62" i="10"/>
  <c r="L31" i="10"/>
  <c r="K23" i="10"/>
  <c r="K31" i="10"/>
  <c r="L40" i="10"/>
  <c r="J62" i="10"/>
  <c r="K24" i="10"/>
  <c r="L36" i="10"/>
  <c r="L30" i="10"/>
  <c r="L34" i="10"/>
  <c r="J63" i="10"/>
  <c r="G64" i="10"/>
  <c r="L35" i="10"/>
  <c r="I66" i="10"/>
  <c r="K29" i="10"/>
  <c r="L22" i="10"/>
  <c r="K22" i="10"/>
  <c r="G62" i="10"/>
  <c r="K5" i="10"/>
  <c r="L5" i="10"/>
  <c r="K34" i="10"/>
  <c r="L29" i="10"/>
  <c r="K28" i="10"/>
  <c r="L28" i="10"/>
  <c r="G63" i="10"/>
  <c r="K6" i="10"/>
  <c r="L6" i="10"/>
  <c r="L45" i="10"/>
  <c r="K45" i="10"/>
  <c r="L46" i="10"/>
  <c r="K46" i="10"/>
  <c r="J67" i="10"/>
  <c r="H63" i="10"/>
  <c r="K40" i="10"/>
  <c r="K35" i="10"/>
  <c r="I63" i="10"/>
  <c r="L24" i="10"/>
  <c r="L42" i="10"/>
  <c r="K42" i="10"/>
  <c r="K30" i="10"/>
  <c r="L33" i="10"/>
  <c r="K33" i="10"/>
  <c r="L43" i="10"/>
  <c r="K43" i="10"/>
  <c r="L23" i="10"/>
  <c r="I67" i="10"/>
  <c r="G67" i="10"/>
  <c r="L10" i="10"/>
  <c r="K10" i="10"/>
  <c r="H62" i="10"/>
  <c r="L18" i="10"/>
  <c r="K18" i="10"/>
  <c r="K36" i="10"/>
  <c r="L25" i="10"/>
  <c r="I64" i="10"/>
  <c r="H67" i="10"/>
  <c r="L41" i="10"/>
  <c r="K41" i="10"/>
  <c r="BZ147" i="8"/>
  <c r="CG147" i="8" s="1"/>
  <c r="AU147" i="8"/>
  <c r="BC147" i="8"/>
  <c r="BK147" i="8"/>
  <c r="BS147" i="8"/>
  <c r="BZ47" i="8"/>
  <c r="CG47" i="8" s="1"/>
  <c r="CM47" i="8" s="1"/>
  <c r="AU47" i="8"/>
  <c r="BC47" i="8"/>
  <c r="BK47" i="8"/>
  <c r="BS47" i="8"/>
  <c r="BZ99" i="8"/>
  <c r="CG99" i="8" s="1"/>
  <c r="BC99" i="8"/>
  <c r="BK99" i="8"/>
  <c r="BS99" i="8"/>
  <c r="AU99" i="8"/>
  <c r="BZ69" i="8"/>
  <c r="CG69" i="8" s="1"/>
  <c r="CM69" i="8" s="1"/>
  <c r="BS69" i="8"/>
  <c r="AU69" i="8"/>
  <c r="BC69" i="8"/>
  <c r="BK69" i="8"/>
  <c r="BZ70" i="8"/>
  <c r="CG70" i="8" s="1"/>
  <c r="AU70" i="8"/>
  <c r="BC70" i="8"/>
  <c r="BK70" i="8"/>
  <c r="BS70" i="8"/>
  <c r="BZ133" i="8"/>
  <c r="CG133" i="8" s="1"/>
  <c r="CM133" i="8" s="1"/>
  <c r="BC133" i="8"/>
  <c r="BK133" i="8"/>
  <c r="BS133" i="8"/>
  <c r="AU133" i="8"/>
  <c r="BZ160" i="8"/>
  <c r="CG160" i="8" s="1"/>
  <c r="CM160" i="8" s="1"/>
  <c r="BC160" i="8"/>
  <c r="BS160" i="8"/>
  <c r="AU160" i="8"/>
  <c r="BK160" i="8"/>
  <c r="BN175" i="8"/>
  <c r="BE175" i="8"/>
  <c r="BB175" i="8"/>
  <c r="AS175" i="8"/>
  <c r="BJ175" i="8"/>
  <c r="BA175" i="8"/>
  <c r="AR175" i="8"/>
  <c r="BQ175" i="8"/>
  <c r="BH175" i="8"/>
  <c r="AY175" i="8"/>
  <c r="AP175" i="8"/>
  <c r="BP175" i="8"/>
  <c r="BG175" i="8"/>
  <c r="AX175" i="8"/>
  <c r="AO175" i="8"/>
  <c r="AW175" i="8"/>
  <c r="AT175" i="8"/>
  <c r="BO175" i="8"/>
  <c r="AQ175" i="8"/>
  <c r="BM175" i="8"/>
  <c r="BI175" i="8"/>
  <c r="BF175" i="8"/>
  <c r="AZ175" i="8"/>
  <c r="BZ105" i="8"/>
  <c r="CG105" i="8" s="1"/>
  <c r="CM105" i="8" s="1"/>
  <c r="BC105" i="8"/>
  <c r="BK105" i="8"/>
  <c r="BS105" i="8"/>
  <c r="AU105" i="8"/>
  <c r="BZ77" i="8"/>
  <c r="CG77" i="8" s="1"/>
  <c r="CM77" i="8" s="1"/>
  <c r="BC77" i="8"/>
  <c r="BK77" i="8"/>
  <c r="BS77" i="8"/>
  <c r="AU77" i="8"/>
  <c r="AU46" i="8"/>
  <c r="BK46" i="8"/>
  <c r="BS46" i="8"/>
  <c r="BC46" i="8"/>
  <c r="BZ155" i="8"/>
  <c r="CG155" i="8" s="1"/>
  <c r="CM155" i="8" s="1"/>
  <c r="AU155" i="8"/>
  <c r="BK155" i="8"/>
  <c r="BS155" i="8"/>
  <c r="BC155" i="8"/>
  <c r="BZ129" i="8"/>
  <c r="CG129" i="8" s="1"/>
  <c r="CM129" i="8" s="1"/>
  <c r="AU129" i="8"/>
  <c r="BC129" i="8"/>
  <c r="BK129" i="8"/>
  <c r="BS129" i="8"/>
  <c r="BZ87" i="8"/>
  <c r="CG87" i="8" s="1"/>
  <c r="AU87" i="8"/>
  <c r="BC87" i="8"/>
  <c r="BS87" i="8"/>
  <c r="BK87" i="8"/>
  <c r="BZ134" i="8"/>
  <c r="CG134" i="8" s="1"/>
  <c r="CM134" i="8" s="1"/>
  <c r="BS134" i="8"/>
  <c r="AU134" i="8"/>
  <c r="BC134" i="8"/>
  <c r="BK134" i="8"/>
  <c r="BZ143" i="8"/>
  <c r="CG143" i="8" s="1"/>
  <c r="CM143" i="8" s="1"/>
  <c r="AU143" i="8"/>
  <c r="BK143" i="8"/>
  <c r="BS143" i="8"/>
  <c r="BC143" i="8"/>
  <c r="BZ119" i="8"/>
  <c r="CG119" i="8" s="1"/>
  <c r="CM119" i="8" s="1"/>
  <c r="BC119" i="8"/>
  <c r="AU119" i="8"/>
  <c r="BS119" i="8"/>
  <c r="BK119" i="8"/>
  <c r="BZ102" i="8"/>
  <c r="CG102" i="8" s="1"/>
  <c r="CM102" i="8" s="1"/>
  <c r="AU102" i="8"/>
  <c r="BC102" i="8"/>
  <c r="BK102" i="8"/>
  <c r="BS102" i="8"/>
  <c r="AU83" i="8"/>
  <c r="BK83" i="8"/>
  <c r="BS83" i="8"/>
  <c r="BC83" i="8"/>
  <c r="BZ54" i="8"/>
  <c r="CG54" i="8" s="1"/>
  <c r="CM54" i="8" s="1"/>
  <c r="BK54" i="8"/>
  <c r="AU54" i="8"/>
  <c r="BS54" i="8"/>
  <c r="BC54" i="8"/>
  <c r="BZ43" i="8"/>
  <c r="CG43" i="8" s="1"/>
  <c r="CM43" i="8" s="1"/>
  <c r="AU43" i="8"/>
  <c r="BC43" i="8"/>
  <c r="BK43" i="8"/>
  <c r="BS43" i="8"/>
  <c r="BZ144" i="8"/>
  <c r="CG144" i="8" s="1"/>
  <c r="CM144" i="8" s="1"/>
  <c r="BK144" i="8"/>
  <c r="BS144" i="8"/>
  <c r="AU144" i="8"/>
  <c r="BC144" i="8"/>
  <c r="BZ110" i="8"/>
  <c r="CG110" i="8" s="1"/>
  <c r="CM110" i="8" s="1"/>
  <c r="AU110" i="8"/>
  <c r="BC110" i="8"/>
  <c r="BK110" i="8"/>
  <c r="BS110" i="8"/>
  <c r="BZ122" i="8"/>
  <c r="CG122" i="8" s="1"/>
  <c r="CM122" i="8" s="1"/>
  <c r="BK122" i="8"/>
  <c r="BS122" i="8"/>
  <c r="BC122" i="8"/>
  <c r="AU122" i="8"/>
  <c r="BZ40" i="8"/>
  <c r="CG40" i="8" s="1"/>
  <c r="CM40" i="8" s="1"/>
  <c r="BS40" i="8"/>
  <c r="AU40" i="8"/>
  <c r="BC40" i="8"/>
  <c r="BK40" i="8"/>
  <c r="BZ116" i="8"/>
  <c r="CG116" i="8" s="1"/>
  <c r="AU116" i="8"/>
  <c r="BC116" i="8"/>
  <c r="BK116" i="8"/>
  <c r="BS116" i="8"/>
  <c r="BZ114" i="8"/>
  <c r="CG114" i="8" s="1"/>
  <c r="CM114" i="8" s="1"/>
  <c r="AU114" i="8"/>
  <c r="BC114" i="8"/>
  <c r="BK114" i="8"/>
  <c r="BS114" i="8"/>
  <c r="BZ89" i="8"/>
  <c r="CG89" i="8" s="1"/>
  <c r="CM89" i="8" s="1"/>
  <c r="AU89" i="8"/>
  <c r="BC89" i="8"/>
  <c r="BS89" i="8"/>
  <c r="BK89" i="8"/>
  <c r="BZ44" i="8"/>
  <c r="CG44" i="8" s="1"/>
  <c r="CM44" i="8" s="1"/>
  <c r="BS44" i="8"/>
  <c r="AU44" i="8"/>
  <c r="BK44" i="8"/>
  <c r="BC44" i="8"/>
  <c r="BZ153" i="8"/>
  <c r="CG153" i="8" s="1"/>
  <c r="CM153" i="8" s="1"/>
  <c r="AU153" i="8"/>
  <c r="BK153" i="8"/>
  <c r="BS153" i="8"/>
  <c r="BC153" i="8"/>
  <c r="BZ103" i="8"/>
  <c r="CG103" i="8" s="1"/>
  <c r="CM103" i="8" s="1"/>
  <c r="BC103" i="8"/>
  <c r="BK103" i="8"/>
  <c r="BS103" i="8"/>
  <c r="AU103" i="8"/>
  <c r="I7" i="8"/>
  <c r="I23" i="8" s="1"/>
  <c r="BQ75" i="8"/>
  <c r="BH75" i="8"/>
  <c r="AY75" i="8"/>
  <c r="AP75" i="8"/>
  <c r="BP75" i="8"/>
  <c r="BG75" i="8"/>
  <c r="AX75" i="8"/>
  <c r="AO75" i="8"/>
  <c r="BO75" i="8"/>
  <c r="BF75" i="8"/>
  <c r="AW75" i="8"/>
  <c r="BN75" i="8"/>
  <c r="BE75" i="8"/>
  <c r="BM75" i="8"/>
  <c r="AT75" i="8"/>
  <c r="BB75" i="8"/>
  <c r="AS75" i="8"/>
  <c r="BJ75" i="8"/>
  <c r="BA75" i="8"/>
  <c r="AR75" i="8"/>
  <c r="AZ75" i="8"/>
  <c r="AQ75" i="8"/>
  <c r="BR75" i="8"/>
  <c r="BI75" i="8"/>
  <c r="BZ149" i="8"/>
  <c r="CG149" i="8" s="1"/>
  <c r="CM149" i="8" s="1"/>
  <c r="BS149" i="8"/>
  <c r="AU149" i="8"/>
  <c r="BC149" i="8"/>
  <c r="BK149" i="8"/>
  <c r="BZ49" i="8"/>
  <c r="CG49" i="8" s="1"/>
  <c r="CM49" i="8" s="1"/>
  <c r="AU49" i="8"/>
  <c r="BC49" i="8"/>
  <c r="BK49" i="8"/>
  <c r="BS49" i="8"/>
  <c r="BZ52" i="8"/>
  <c r="CG52" i="8" s="1"/>
  <c r="CM52" i="8" s="1"/>
  <c r="BS52" i="8"/>
  <c r="AU52" i="8"/>
  <c r="BK52" i="8"/>
  <c r="BC52" i="8"/>
  <c r="BZ66" i="8"/>
  <c r="CG66" i="8" s="1"/>
  <c r="CM66" i="8" s="1"/>
  <c r="AU66" i="8"/>
  <c r="BC66" i="8"/>
  <c r="BK66" i="8"/>
  <c r="BS66" i="8"/>
  <c r="BZ45" i="8"/>
  <c r="CG45" i="8" s="1"/>
  <c r="CM45" i="8" s="1"/>
  <c r="AU45" i="8"/>
  <c r="BC45" i="8"/>
  <c r="BK45" i="8"/>
  <c r="BS45" i="8"/>
  <c r="BK38" i="8"/>
  <c r="BS38" i="8"/>
  <c r="AU38" i="8"/>
  <c r="BC38" i="8"/>
  <c r="BZ121" i="8"/>
  <c r="CG121" i="8" s="1"/>
  <c r="CM121" i="8" s="1"/>
  <c r="AU121" i="8"/>
  <c r="BC121" i="8"/>
  <c r="BK121" i="8"/>
  <c r="BS121" i="8"/>
  <c r="BZ57" i="8"/>
  <c r="CG57" i="8" s="1"/>
  <c r="CM57" i="8" s="1"/>
  <c r="AU57" i="8"/>
  <c r="BC57" i="8"/>
  <c r="BK57" i="8"/>
  <c r="BS57" i="8"/>
  <c r="BZ126" i="8"/>
  <c r="CG126" i="8" s="1"/>
  <c r="CM126" i="8" s="1"/>
  <c r="AU126" i="8"/>
  <c r="BC126" i="8"/>
  <c r="BS126" i="8"/>
  <c r="BK126" i="8"/>
  <c r="BZ64" i="8"/>
  <c r="CG64" i="8" s="1"/>
  <c r="CM64" i="8" s="1"/>
  <c r="AU64" i="8"/>
  <c r="BC64" i="8"/>
  <c r="BK64" i="8"/>
  <c r="BS64" i="8"/>
  <c r="BZ157" i="8"/>
  <c r="CG157" i="8" s="1"/>
  <c r="CM157" i="8" s="1"/>
  <c r="AU157" i="8"/>
  <c r="BK157" i="8"/>
  <c r="BS157" i="8"/>
  <c r="BC157" i="8"/>
  <c r="BZ113" i="8"/>
  <c r="CG113" i="8" s="1"/>
  <c r="AU113" i="8"/>
  <c r="BC113" i="8"/>
  <c r="BK113" i="8"/>
  <c r="BS113" i="8"/>
  <c r="BZ88" i="8"/>
  <c r="CG88" i="8" s="1"/>
  <c r="CM88" i="8" s="1"/>
  <c r="AU88" i="8"/>
  <c r="BC88" i="8"/>
  <c r="BS88" i="8"/>
  <c r="BK88" i="8"/>
  <c r="BZ68" i="8"/>
  <c r="CG68" i="8" s="1"/>
  <c r="CM68" i="8" s="1"/>
  <c r="AU68" i="8"/>
  <c r="BC68" i="8"/>
  <c r="BK68" i="8"/>
  <c r="BS68" i="8"/>
  <c r="BZ101" i="8"/>
  <c r="CG101" i="8" s="1"/>
  <c r="CM101" i="8" s="1"/>
  <c r="BC101" i="8"/>
  <c r="BK101" i="8"/>
  <c r="BS101" i="8"/>
  <c r="AU101" i="8"/>
  <c r="BZ141" i="8"/>
  <c r="CG141" i="8" s="1"/>
  <c r="CM141" i="8" s="1"/>
  <c r="AU141" i="8"/>
  <c r="BK141" i="8"/>
  <c r="BS141" i="8"/>
  <c r="BC141" i="8"/>
  <c r="BZ130" i="8"/>
  <c r="CG130" i="8" s="1"/>
  <c r="CM130" i="8" s="1"/>
  <c r="AU130" i="8"/>
  <c r="BC130" i="8"/>
  <c r="BK130" i="8"/>
  <c r="BS130" i="8"/>
  <c r="BZ158" i="8"/>
  <c r="CG158" i="8" s="1"/>
  <c r="CM158" i="8" s="1"/>
  <c r="BC158" i="8"/>
  <c r="BS158" i="8"/>
  <c r="BK158" i="8"/>
  <c r="AU158" i="8"/>
  <c r="BZ142" i="8"/>
  <c r="CG142" i="8" s="1"/>
  <c r="BS142" i="8"/>
  <c r="AU142" i="8"/>
  <c r="BK142" i="8"/>
  <c r="BC142" i="8"/>
  <c r="BZ72" i="8"/>
  <c r="CG72" i="8" s="1"/>
  <c r="AU72" i="8"/>
  <c r="BC72" i="8"/>
  <c r="BK72" i="8"/>
  <c r="BS72" i="8"/>
  <c r="BZ125" i="8"/>
  <c r="CG125" i="8" s="1"/>
  <c r="CM125" i="8" s="1"/>
  <c r="AU125" i="8"/>
  <c r="BC125" i="8"/>
  <c r="BK125" i="8"/>
  <c r="BS125" i="8"/>
  <c r="BZ100" i="8"/>
  <c r="CG100" i="8" s="1"/>
  <c r="CM100" i="8" s="1"/>
  <c r="AU100" i="8"/>
  <c r="BC100" i="8"/>
  <c r="BK100" i="8"/>
  <c r="BS100" i="8"/>
  <c r="BZ63" i="8"/>
  <c r="CG63" i="8" s="1"/>
  <c r="CM63" i="8" s="1"/>
  <c r="AU63" i="8"/>
  <c r="BS63" i="8"/>
  <c r="BK63" i="8"/>
  <c r="BC63" i="8"/>
  <c r="BZ67" i="8"/>
  <c r="CG67" i="8" s="1"/>
  <c r="CM67" i="8" s="1"/>
  <c r="BK67" i="8"/>
  <c r="BS67" i="8"/>
  <c r="AU67" i="8"/>
  <c r="BC67" i="8"/>
  <c r="BZ39" i="8"/>
  <c r="CG39" i="8" s="1"/>
  <c r="CM39" i="8" s="1"/>
  <c r="AU39" i="8"/>
  <c r="BC39" i="8"/>
  <c r="BK39" i="8"/>
  <c r="BS39" i="8"/>
  <c r="BZ61" i="8"/>
  <c r="CG61" i="8" s="1"/>
  <c r="CM61" i="8" s="1"/>
  <c r="AU61" i="8"/>
  <c r="BK61" i="8"/>
  <c r="BC61" i="8"/>
  <c r="BS61" i="8"/>
  <c r="BZ161" i="8"/>
  <c r="CG161" i="8" s="1"/>
  <c r="CM161" i="8" s="1"/>
  <c r="AU161" i="8"/>
  <c r="BK161" i="8"/>
  <c r="BS161" i="8"/>
  <c r="BC161" i="8"/>
  <c r="BZ140" i="8"/>
  <c r="CG140" i="8" s="1"/>
  <c r="CM140" i="8" s="1"/>
  <c r="BS140" i="8"/>
  <c r="AU140" i="8"/>
  <c r="BK140" i="8"/>
  <c r="BC140" i="8"/>
  <c r="BZ127" i="8"/>
  <c r="CG127" i="8" s="1"/>
  <c r="CM127" i="8" s="1"/>
  <c r="AU127" i="8"/>
  <c r="BC127" i="8"/>
  <c r="BK127" i="8"/>
  <c r="BS127" i="8"/>
  <c r="BZ111" i="8"/>
  <c r="CG111" i="8" s="1"/>
  <c r="CM111" i="8" s="1"/>
  <c r="BS111" i="8"/>
  <c r="AU111" i="8"/>
  <c r="BC111" i="8"/>
  <c r="BK111" i="8"/>
  <c r="BZ71" i="8"/>
  <c r="CG71" i="8" s="1"/>
  <c r="CM71" i="8" s="1"/>
  <c r="AU71" i="8"/>
  <c r="BC71" i="8"/>
  <c r="BK71" i="8"/>
  <c r="BS71" i="8"/>
  <c r="BZ139" i="8"/>
  <c r="CG139" i="8" s="1"/>
  <c r="CM139" i="8" s="1"/>
  <c r="AU139" i="8"/>
  <c r="BK139" i="8"/>
  <c r="BS139" i="8"/>
  <c r="BC139" i="8"/>
  <c r="BZ95" i="8"/>
  <c r="CG95" i="8" s="1"/>
  <c r="BC95" i="8"/>
  <c r="BK95" i="8"/>
  <c r="BS95" i="8"/>
  <c r="AU95" i="8"/>
  <c r="BZ98" i="8"/>
  <c r="CG98" i="8" s="1"/>
  <c r="CM98" i="8" s="1"/>
  <c r="AU98" i="8"/>
  <c r="BC98" i="8"/>
  <c r="BK98" i="8"/>
  <c r="BS98" i="8"/>
  <c r="BZ124" i="8"/>
  <c r="CG124" i="8" s="1"/>
  <c r="CM124" i="8" s="1"/>
  <c r="BS124" i="8"/>
  <c r="AU124" i="8"/>
  <c r="BK124" i="8"/>
  <c r="BC124" i="8"/>
  <c r="BZ169" i="8"/>
  <c r="CG169" i="8" s="1"/>
  <c r="CM169" i="8" s="1"/>
  <c r="BC169" i="8"/>
  <c r="BS169" i="8"/>
  <c r="BK169" i="8"/>
  <c r="AU169" i="8"/>
  <c r="BZ168" i="8"/>
  <c r="CG168" i="8" s="1"/>
  <c r="AU168" i="8"/>
  <c r="BK168" i="8"/>
  <c r="BS168" i="8"/>
  <c r="BC168" i="8"/>
  <c r="BZ84" i="8"/>
  <c r="CG84" i="8" s="1"/>
  <c r="BS84" i="8"/>
  <c r="AU84" i="8"/>
  <c r="BC84" i="8"/>
  <c r="BK84" i="8"/>
  <c r="BS60" i="8"/>
  <c r="BK60" i="8"/>
  <c r="AU60" i="8"/>
  <c r="BC60" i="8"/>
  <c r="BO73" i="8"/>
  <c r="BF73" i="8"/>
  <c r="AW73" i="8"/>
  <c r="AX73" i="8"/>
  <c r="BN73" i="8"/>
  <c r="BE73" i="8"/>
  <c r="AP73" i="8"/>
  <c r="BM73" i="8"/>
  <c r="AT73" i="8"/>
  <c r="BP73" i="8"/>
  <c r="BB73" i="8"/>
  <c r="AS73" i="8"/>
  <c r="BQ73" i="8"/>
  <c r="BJ73" i="8"/>
  <c r="BA73" i="8"/>
  <c r="AR73" i="8"/>
  <c r="BH73" i="8"/>
  <c r="BG73" i="8"/>
  <c r="BR73" i="8"/>
  <c r="BI73" i="8"/>
  <c r="AZ73" i="8"/>
  <c r="AQ73" i="8"/>
  <c r="AY73" i="8"/>
  <c r="AO73" i="8"/>
  <c r="BZ151" i="8"/>
  <c r="CG151" i="8" s="1"/>
  <c r="CM151" i="8" s="1"/>
  <c r="AU151" i="8"/>
  <c r="BK151" i="8"/>
  <c r="BS151" i="8"/>
  <c r="BC151" i="8"/>
  <c r="BZ51" i="8"/>
  <c r="CG51" i="8" s="1"/>
  <c r="CM51" i="8" s="1"/>
  <c r="AU51" i="8"/>
  <c r="BC51" i="8"/>
  <c r="BK51" i="8"/>
  <c r="BS51" i="8"/>
  <c r="BZ118" i="8"/>
  <c r="CG118" i="8" s="1"/>
  <c r="CM118" i="8" s="1"/>
  <c r="AU118" i="8"/>
  <c r="BC118" i="8"/>
  <c r="BK118" i="8"/>
  <c r="BS118" i="8"/>
  <c r="BZ82" i="8"/>
  <c r="CG82" i="8" s="1"/>
  <c r="CM82" i="8" s="1"/>
  <c r="BS82" i="8"/>
  <c r="AU82" i="8"/>
  <c r="BK82" i="8"/>
  <c r="BC82" i="8"/>
  <c r="BZ109" i="8"/>
  <c r="BS109" i="8"/>
  <c r="AU109" i="8"/>
  <c r="BC109" i="8"/>
  <c r="BK109" i="8"/>
  <c r="BZ85" i="8"/>
  <c r="CG85" i="8" s="1"/>
  <c r="CM85" i="8" s="1"/>
  <c r="AU85" i="8"/>
  <c r="BC85" i="8"/>
  <c r="BS85" i="8"/>
  <c r="BK85" i="8"/>
  <c r="BZ150" i="8"/>
  <c r="CG150" i="8" s="1"/>
  <c r="BC150" i="8"/>
  <c r="BS150" i="8"/>
  <c r="AU150" i="8"/>
  <c r="BK150" i="8"/>
  <c r="BZ56" i="8"/>
  <c r="CG56" i="8" s="1"/>
  <c r="CM56" i="8" s="1"/>
  <c r="BK56" i="8"/>
  <c r="BS56" i="8"/>
  <c r="AU56" i="8"/>
  <c r="BC56" i="8"/>
  <c r="BZ156" i="8"/>
  <c r="CG156" i="8" s="1"/>
  <c r="CM156" i="8" s="1"/>
  <c r="BC156" i="8"/>
  <c r="BS156" i="8"/>
  <c r="AU156" i="8"/>
  <c r="BK156" i="8"/>
  <c r="BZ135" i="8"/>
  <c r="CG135" i="8" s="1"/>
  <c r="CM135" i="8" s="1"/>
  <c r="BK135" i="8"/>
  <c r="BS135" i="8"/>
  <c r="AU135" i="8"/>
  <c r="BC135" i="8"/>
  <c r="BZ112" i="8"/>
  <c r="CG112" i="8" s="1"/>
  <c r="CM112" i="8" s="1"/>
  <c r="AU112" i="8"/>
  <c r="BC112" i="8"/>
  <c r="BK112" i="8"/>
  <c r="BS112" i="8"/>
  <c r="BZ148" i="8"/>
  <c r="CG148" i="8" s="1"/>
  <c r="CM148" i="8" s="1"/>
  <c r="BK148" i="8"/>
  <c r="BS148" i="8"/>
  <c r="AU148" i="8"/>
  <c r="BC148" i="8"/>
  <c r="BZ50" i="8"/>
  <c r="CG50" i="8" s="1"/>
  <c r="CM50" i="8" s="1"/>
  <c r="AU50" i="8"/>
  <c r="BK50" i="8"/>
  <c r="BC50" i="8"/>
  <c r="BS50" i="8"/>
  <c r="BZ96" i="8"/>
  <c r="CG96" i="8" s="1"/>
  <c r="CM96" i="8" s="1"/>
  <c r="BC96" i="8"/>
  <c r="AU96" i="8"/>
  <c r="BK96" i="8"/>
  <c r="BS96" i="8"/>
  <c r="BZ92" i="8"/>
  <c r="CG92" i="8" s="1"/>
  <c r="AU92" i="8"/>
  <c r="BC92" i="8"/>
  <c r="BK92" i="8"/>
  <c r="BS92" i="8"/>
  <c r="BZ93" i="8"/>
  <c r="CG93" i="8" s="1"/>
  <c r="CM93" i="8" s="1"/>
  <c r="BC93" i="8"/>
  <c r="BK93" i="8"/>
  <c r="BS93" i="8"/>
  <c r="AU93" i="8"/>
  <c r="BZ79" i="8"/>
  <c r="CG79" i="8" s="1"/>
  <c r="BC79" i="8"/>
  <c r="BK79" i="8"/>
  <c r="BS79" i="8"/>
  <c r="AU79" i="8"/>
  <c r="BZ174" i="8"/>
  <c r="CG174" i="8" s="1"/>
  <c r="CM174" i="8" s="1"/>
  <c r="AU174" i="8"/>
  <c r="BC174" i="8"/>
  <c r="BK174" i="8"/>
  <c r="BS174" i="8"/>
  <c r="BZ76" i="8"/>
  <c r="BZ164" i="8"/>
  <c r="CG164" i="8" s="1"/>
  <c r="BC164" i="8"/>
  <c r="BS164" i="8"/>
  <c r="AU164" i="8"/>
  <c r="BK164" i="8"/>
  <c r="BZ120" i="8"/>
  <c r="CG120" i="8" s="1"/>
  <c r="BK120" i="8"/>
  <c r="BS120" i="8"/>
  <c r="BC120" i="8"/>
  <c r="AU120" i="8"/>
  <c r="BZ145" i="8"/>
  <c r="CG145" i="8" s="1"/>
  <c r="CM145" i="8" s="1"/>
  <c r="AU145" i="8"/>
  <c r="BC145" i="8"/>
  <c r="BK145" i="8"/>
  <c r="BS145" i="8"/>
  <c r="BZ165" i="8"/>
  <c r="CG165" i="8" s="1"/>
  <c r="CM165" i="8" s="1"/>
  <c r="AU165" i="8"/>
  <c r="BK165" i="8"/>
  <c r="BS165" i="8"/>
  <c r="BC165" i="8"/>
  <c r="BZ91" i="8"/>
  <c r="CG91" i="8" s="1"/>
  <c r="CM91" i="8" s="1"/>
  <c r="AU91" i="8"/>
  <c r="BC91" i="8"/>
  <c r="BS91" i="8"/>
  <c r="BK91" i="8"/>
  <c r="BZ55" i="8"/>
  <c r="CG55" i="8" s="1"/>
  <c r="CM55" i="8" s="1"/>
  <c r="AU55" i="8"/>
  <c r="BC55" i="8"/>
  <c r="BK55" i="8"/>
  <c r="BS55" i="8"/>
  <c r="BZ94" i="8"/>
  <c r="CG94" i="8" s="1"/>
  <c r="CM94" i="8" s="1"/>
  <c r="AU94" i="8"/>
  <c r="BC94" i="8"/>
  <c r="BK94" i="8"/>
  <c r="BS94" i="8"/>
  <c r="BF58" i="8"/>
  <c r="AW58" i="8"/>
  <c r="BG58" i="8"/>
  <c r="BE58" i="8"/>
  <c r="AT58" i="8"/>
  <c r="BB58" i="8"/>
  <c r="AS58" i="8"/>
  <c r="BH58" i="8"/>
  <c r="AO58" i="8"/>
  <c r="BJ58" i="8"/>
  <c r="BA58" i="8"/>
  <c r="AR58" i="8"/>
  <c r="AY58" i="8"/>
  <c r="BI58" i="8"/>
  <c r="AZ58" i="8"/>
  <c r="AQ58" i="8"/>
  <c r="AP58" i="8"/>
  <c r="AX58" i="8"/>
  <c r="BZ123" i="8"/>
  <c r="CG123" i="8" s="1"/>
  <c r="CM123" i="8" s="1"/>
  <c r="AU123" i="8"/>
  <c r="BC123" i="8"/>
  <c r="BK123" i="8"/>
  <c r="BS123" i="8"/>
  <c r="BZ104" i="8"/>
  <c r="CG104" i="8" s="1"/>
  <c r="CM104" i="8" s="1"/>
  <c r="BS104" i="8"/>
  <c r="AU104" i="8"/>
  <c r="BC104" i="8"/>
  <c r="BK104" i="8"/>
  <c r="BZ42" i="8"/>
  <c r="CG42" i="8" s="1"/>
  <c r="CM42" i="8" s="1"/>
  <c r="BK42" i="8"/>
  <c r="AU42" i="8"/>
  <c r="BS42" i="8"/>
  <c r="BC42" i="8"/>
  <c r="AU132" i="8"/>
  <c r="BC132" i="8"/>
  <c r="BK132" i="8"/>
  <c r="BS132" i="8"/>
  <c r="BZ97" i="8"/>
  <c r="CG97" i="8" s="1"/>
  <c r="CM97" i="8" s="1"/>
  <c r="BC97" i="8"/>
  <c r="BS97" i="8"/>
  <c r="BK97" i="8"/>
  <c r="AU97" i="8"/>
  <c r="BZ78" i="8"/>
  <c r="CG78" i="8" s="1"/>
  <c r="CM78" i="8" s="1"/>
  <c r="BK78" i="8"/>
  <c r="BS78" i="8"/>
  <c r="BC78" i="8"/>
  <c r="AU78" i="8"/>
  <c r="BZ90" i="8"/>
  <c r="CG90" i="8" s="1"/>
  <c r="CM90" i="8" s="1"/>
  <c r="AU90" i="8"/>
  <c r="BC90" i="8"/>
  <c r="BS90" i="8"/>
  <c r="BK90" i="8"/>
  <c r="I9" i="8"/>
  <c r="I25" i="8" s="1"/>
  <c r="BZ48" i="8"/>
  <c r="CG48" i="8" s="1"/>
  <c r="CM48" i="8" s="1"/>
  <c r="AU48" i="8"/>
  <c r="BK48" i="8"/>
  <c r="BS48" i="8"/>
  <c r="BC48" i="8"/>
  <c r="BZ171" i="8"/>
  <c r="CG171" i="8" s="1"/>
  <c r="CM171" i="8" s="1"/>
  <c r="BC171" i="8"/>
  <c r="BS171" i="8"/>
  <c r="AU171" i="8"/>
  <c r="BK171" i="8"/>
  <c r="BZ81" i="8"/>
  <c r="CG81" i="8" s="1"/>
  <c r="CM81" i="8" s="1"/>
  <c r="AU81" i="8"/>
  <c r="BK81" i="8"/>
  <c r="BS81" i="8"/>
  <c r="BC81" i="8"/>
  <c r="BZ173" i="8"/>
  <c r="CG173" i="8" s="1"/>
  <c r="CM173" i="8" s="1"/>
  <c r="BC173" i="8"/>
  <c r="BK173" i="8"/>
  <c r="BS173" i="8"/>
  <c r="AU173" i="8"/>
  <c r="BZ62" i="8"/>
  <c r="CG62" i="8" s="1"/>
  <c r="CM62" i="8" s="1"/>
  <c r="AU62" i="8"/>
  <c r="BC62" i="8"/>
  <c r="BK62" i="8"/>
  <c r="BS62" i="8"/>
  <c r="BZ159" i="8"/>
  <c r="CG159" i="8" s="1"/>
  <c r="CM159" i="8" s="1"/>
  <c r="AU159" i="8"/>
  <c r="BK159" i="8"/>
  <c r="BS159" i="8"/>
  <c r="BC159" i="8"/>
  <c r="BZ115" i="8"/>
  <c r="CG115" i="8" s="1"/>
  <c r="CM115" i="8" s="1"/>
  <c r="AU115" i="8"/>
  <c r="BC115" i="8"/>
  <c r="BK115" i="8"/>
  <c r="BS115" i="8"/>
  <c r="BZ65" i="8"/>
  <c r="CG65" i="8" s="1"/>
  <c r="CM65" i="8" s="1"/>
  <c r="BS65" i="8"/>
  <c r="AU65" i="8"/>
  <c r="BC65" i="8"/>
  <c r="BK65" i="8"/>
  <c r="BZ53" i="8"/>
  <c r="CG53" i="8" s="1"/>
  <c r="CM53" i="8" s="1"/>
  <c r="AU53" i="8"/>
  <c r="BC53" i="8"/>
  <c r="BK53" i="8"/>
  <c r="BS53" i="8"/>
  <c r="BZ138" i="8"/>
  <c r="CG138" i="8" s="1"/>
  <c r="BS138" i="8"/>
  <c r="AU138" i="8"/>
  <c r="BC138" i="8"/>
  <c r="BK138" i="8"/>
  <c r="BZ162" i="8"/>
  <c r="CG162" i="8" s="1"/>
  <c r="CM162" i="8" s="1"/>
  <c r="BC162" i="8"/>
  <c r="BS162" i="8"/>
  <c r="BK162" i="8"/>
  <c r="AU162" i="8"/>
  <c r="BZ152" i="8"/>
  <c r="CG152" i="8" s="1"/>
  <c r="CM152" i="8" s="1"/>
  <c r="BC152" i="8"/>
  <c r="BS152" i="8"/>
  <c r="BK152" i="8"/>
  <c r="AU152" i="8"/>
  <c r="BZ136" i="8"/>
  <c r="CG136" i="8" s="1"/>
  <c r="CM136" i="8" s="1"/>
  <c r="BS136" i="8"/>
  <c r="AU136" i="8"/>
  <c r="BK136" i="8"/>
  <c r="BC136" i="8"/>
  <c r="BZ80" i="8"/>
  <c r="CG80" i="8" s="1"/>
  <c r="CM80" i="8" s="1"/>
  <c r="BS80" i="8"/>
  <c r="AU80" i="8"/>
  <c r="BK80" i="8"/>
  <c r="BC80" i="8"/>
  <c r="BZ154" i="8"/>
  <c r="CG154" i="8" s="1"/>
  <c r="CM154" i="8" s="1"/>
  <c r="BC154" i="8"/>
  <c r="BS154" i="8"/>
  <c r="AU154" i="8"/>
  <c r="BK154" i="8"/>
  <c r="BZ128" i="8"/>
  <c r="CG128" i="8" s="1"/>
  <c r="CM128" i="8" s="1"/>
  <c r="AU128" i="8"/>
  <c r="BC128" i="8"/>
  <c r="BS128" i="8"/>
  <c r="BK128" i="8"/>
  <c r="BZ163" i="8"/>
  <c r="CG163" i="8" s="1"/>
  <c r="AU163" i="8"/>
  <c r="BK163" i="8"/>
  <c r="BS163" i="8"/>
  <c r="BC163" i="8"/>
  <c r="BZ146" i="8"/>
  <c r="CG146" i="8" s="1"/>
  <c r="CM146" i="8" s="1"/>
  <c r="BK146" i="8"/>
  <c r="BS146" i="8"/>
  <c r="AU146" i="8"/>
  <c r="BC146" i="8"/>
  <c r="BZ86" i="8"/>
  <c r="CG86" i="8" s="1"/>
  <c r="CM86" i="8" s="1"/>
  <c r="AU86" i="8"/>
  <c r="BC86" i="8"/>
  <c r="BK86" i="8"/>
  <c r="BS86" i="8"/>
  <c r="BZ131" i="8"/>
  <c r="CG131" i="8" s="1"/>
  <c r="CM131" i="8" s="1"/>
  <c r="BC131" i="8"/>
  <c r="BK131" i="8"/>
  <c r="BS131" i="8"/>
  <c r="AU131" i="8"/>
  <c r="BZ137" i="8"/>
  <c r="CG137" i="8" s="1"/>
  <c r="CM137" i="8" s="1"/>
  <c r="AU137" i="8"/>
  <c r="BK137" i="8"/>
  <c r="BS137" i="8"/>
  <c r="BC137" i="8"/>
  <c r="BZ170" i="8"/>
  <c r="CG170" i="8" s="1"/>
  <c r="CM170" i="8" s="1"/>
  <c r="AU170" i="8"/>
  <c r="BK170" i="8"/>
  <c r="BS170" i="8"/>
  <c r="BC170" i="8"/>
  <c r="BZ41" i="8"/>
  <c r="CG41" i="8" s="1"/>
  <c r="CM41" i="8" s="1"/>
  <c r="AU41" i="8"/>
  <c r="BC41" i="8"/>
  <c r="BK41" i="8"/>
  <c r="BS41" i="8"/>
  <c r="BZ172" i="8"/>
  <c r="CG172" i="8" s="1"/>
  <c r="CM172" i="8" s="1"/>
  <c r="AU172" i="8"/>
  <c r="BC172" i="8"/>
  <c r="BK172" i="8"/>
  <c r="BS172" i="8"/>
  <c r="AL126" i="8"/>
  <c r="CF167" i="8"/>
  <c r="O27" i="8" s="1"/>
  <c r="O11" i="8"/>
  <c r="M5" i="8"/>
  <c r="CF37" i="8"/>
  <c r="O5" i="8"/>
  <c r="CE117" i="8"/>
  <c r="N10" i="8"/>
  <c r="M11" i="8"/>
  <c r="CE167" i="8"/>
  <c r="N27" i="8" s="1"/>
  <c r="N11" i="8"/>
  <c r="CF76" i="8"/>
  <c r="O8" i="8"/>
  <c r="CL51" i="8"/>
  <c r="CL134" i="8"/>
  <c r="CL99" i="8"/>
  <c r="CL141" i="8"/>
  <c r="CL95" i="8"/>
  <c r="CL97" i="8"/>
  <c r="CL66" i="8"/>
  <c r="CL121" i="8"/>
  <c r="CL138" i="8"/>
  <c r="CL129" i="8"/>
  <c r="CL132" i="8"/>
  <c r="CL154" i="8"/>
  <c r="CL64" i="8"/>
  <c r="CL135" i="8"/>
  <c r="CL114" i="8"/>
  <c r="CL92" i="8"/>
  <c r="CL162" i="8"/>
  <c r="CL62" i="8"/>
  <c r="CL111" i="8"/>
  <c r="CL45" i="8"/>
  <c r="CL174" i="8"/>
  <c r="CL79" i="8"/>
  <c r="CL144" i="8"/>
  <c r="CL105" i="8"/>
  <c r="CL44" i="8"/>
  <c r="CL130" i="8"/>
  <c r="CL78" i="8"/>
  <c r="CL157" i="8"/>
  <c r="CL63" i="8"/>
  <c r="CL61" i="8"/>
  <c r="CL69" i="8"/>
  <c r="CL104" i="8"/>
  <c r="CL150" i="8"/>
  <c r="CL52" i="8"/>
  <c r="CL173" i="8"/>
  <c r="CL119" i="8"/>
  <c r="CL98" i="8"/>
  <c r="CL110" i="8"/>
  <c r="CL67" i="8"/>
  <c r="CL46" i="8"/>
  <c r="CL39" i="8"/>
  <c r="CL103" i="8"/>
  <c r="CL77" i="8"/>
  <c r="CL170" i="8"/>
  <c r="CL122" i="8"/>
  <c r="CL83" i="8"/>
  <c r="CL113" i="8"/>
  <c r="CL68" i="8"/>
  <c r="CL136" i="8"/>
  <c r="CL158" i="8"/>
  <c r="CL163" i="8"/>
  <c r="CL156" i="8"/>
  <c r="CL143" i="8"/>
  <c r="CL54" i="8"/>
  <c r="CL40" i="8"/>
  <c r="CL152" i="8"/>
  <c r="CL85" i="8"/>
  <c r="CL112" i="8"/>
  <c r="CL72" i="8"/>
  <c r="CD122" i="8"/>
  <c r="CD57" i="8"/>
  <c r="CD158" i="8"/>
  <c r="CB158" i="8"/>
  <c r="CB78" i="8"/>
  <c r="CD78" i="8"/>
  <c r="AL83" i="8"/>
  <c r="BZ83" i="8"/>
  <c r="CG83" i="8" s="1"/>
  <c r="CD157" i="8"/>
  <c r="CV157" i="8" s="1"/>
  <c r="CD144" i="8"/>
  <c r="CL57" i="8"/>
  <c r="CL128" i="8"/>
  <c r="CD51" i="8"/>
  <c r="CK51" i="8" s="1"/>
  <c r="CD67" i="8"/>
  <c r="CV67" i="8" s="1"/>
  <c r="CD89" i="8"/>
  <c r="CL145" i="8"/>
  <c r="CL160" i="8"/>
  <c r="CM87" i="8"/>
  <c r="CD42" i="8"/>
  <c r="CW42" i="8" s="1"/>
  <c r="CD111" i="8"/>
  <c r="CD63" i="8"/>
  <c r="CV63" i="8" s="1"/>
  <c r="CD145" i="8"/>
  <c r="CV145" i="8" s="1"/>
  <c r="CD103" i="8"/>
  <c r="CD77" i="8"/>
  <c r="CD55" i="8"/>
  <c r="CD132" i="8"/>
  <c r="CK132" i="8" s="1"/>
  <c r="CD97" i="8"/>
  <c r="CV97" i="8" s="1"/>
  <c r="CD173" i="8"/>
  <c r="CD104" i="8"/>
  <c r="CL88" i="8"/>
  <c r="CD119" i="8"/>
  <c r="CK119" i="8" s="1"/>
  <c r="CL53" i="8"/>
  <c r="CD155" i="8"/>
  <c r="CN155" i="8" s="1"/>
  <c r="CD100" i="8"/>
  <c r="CK100" i="8" s="1"/>
  <c r="CA100" i="8"/>
  <c r="CL55" i="8"/>
  <c r="CD43" i="8"/>
  <c r="CK43" i="8" s="1"/>
  <c r="CD169" i="8"/>
  <c r="CL126" i="8"/>
  <c r="BW114" i="8"/>
  <c r="CD47" i="8"/>
  <c r="CD81" i="8"/>
  <c r="CD65" i="8"/>
  <c r="CK65" i="8" s="1"/>
  <c r="CL70" i="8"/>
  <c r="CL102" i="8"/>
  <c r="CL131" i="8"/>
  <c r="AL46" i="8"/>
  <c r="BZ46" i="8"/>
  <c r="CG46" i="8" s="1"/>
  <c r="CD134" i="8"/>
  <c r="CA150" i="8"/>
  <c r="CD150" i="8"/>
  <c r="CD116" i="8"/>
  <c r="CB68" i="8"/>
  <c r="CD68" i="8"/>
  <c r="CD162" i="8"/>
  <c r="CM120" i="8"/>
  <c r="CL127" i="8"/>
  <c r="CL148" i="8"/>
  <c r="CL48" i="8"/>
  <c r="CD156" i="8"/>
  <c r="CV156" i="8" s="1"/>
  <c r="CD90" i="8"/>
  <c r="CL50" i="8"/>
  <c r="CD171" i="8"/>
  <c r="CL137" i="8"/>
  <c r="CD102" i="8"/>
  <c r="CD85" i="8"/>
  <c r="CK85" i="8" s="1"/>
  <c r="CL60" i="8"/>
  <c r="CL140" i="8"/>
  <c r="CL96" i="8"/>
  <c r="CD50" i="8"/>
  <c r="CK50" i="8" s="1"/>
  <c r="CD38" i="8"/>
  <c r="CK38" i="8" s="1"/>
  <c r="CD153" i="8"/>
  <c r="CM142" i="8"/>
  <c r="CL120" i="8"/>
  <c r="CM72" i="8"/>
  <c r="CL42" i="8"/>
  <c r="CD167" i="8"/>
  <c r="CD115" i="8"/>
  <c r="CK115" i="8" s="1"/>
  <c r="CB44" i="8"/>
  <c r="CD44" i="8"/>
  <c r="CL125" i="8"/>
  <c r="CD109" i="8"/>
  <c r="CL94" i="8"/>
  <c r="CD131" i="8"/>
  <c r="CD39" i="8"/>
  <c r="CK39" i="8" s="1"/>
  <c r="CM84" i="8"/>
  <c r="CD125" i="8"/>
  <c r="CW125" i="8" s="1"/>
  <c r="CD66" i="8"/>
  <c r="CK66" i="8" s="1"/>
  <c r="CD83" i="8"/>
  <c r="CK83" i="8" s="1"/>
  <c r="CM95" i="8"/>
  <c r="CL49" i="8"/>
  <c r="CL151" i="8"/>
  <c r="BW140" i="8"/>
  <c r="M10" i="8" s="1"/>
  <c r="CD93" i="8"/>
  <c r="CB72" i="8"/>
  <c r="CD72" i="8"/>
  <c r="CW72" i="8" s="1"/>
  <c r="CD147" i="8"/>
  <c r="CV147" i="8" s="1"/>
  <c r="CL124" i="8"/>
  <c r="CD130" i="8"/>
  <c r="CV130" i="8" s="1"/>
  <c r="CD98" i="8"/>
  <c r="CL82" i="8"/>
  <c r="CD129" i="8"/>
  <c r="CD60" i="8"/>
  <c r="CD45" i="8"/>
  <c r="CW45" i="8" s="1"/>
  <c r="CD159" i="8"/>
  <c r="CV159" i="8" s="1"/>
  <c r="CD62" i="8"/>
  <c r="CB120" i="8"/>
  <c r="CA120" i="8"/>
  <c r="CD120" i="8"/>
  <c r="CW120" i="8" s="1"/>
  <c r="CD53" i="8"/>
  <c r="CM168" i="8"/>
  <c r="CL146" i="8"/>
  <c r="CD99" i="8"/>
  <c r="CN99" i="8" s="1"/>
  <c r="CB99" i="8"/>
  <c r="CA99" i="8"/>
  <c r="CD163" i="8"/>
  <c r="CD117" i="8"/>
  <c r="CL87" i="8"/>
  <c r="CD61" i="8"/>
  <c r="BW71" i="8"/>
  <c r="CD94" i="8"/>
  <c r="CK94" i="8" s="1"/>
  <c r="CL123" i="8"/>
  <c r="CD154" i="8"/>
  <c r="CV154" i="8" s="1"/>
  <c r="CD139" i="8"/>
  <c r="CD127" i="8"/>
  <c r="CL43" i="8"/>
  <c r="CM150" i="8"/>
  <c r="CL133" i="8"/>
  <c r="CL100" i="8"/>
  <c r="CL81" i="8"/>
  <c r="CD172" i="8"/>
  <c r="CD48" i="8"/>
  <c r="CV48" i="8" s="1"/>
  <c r="CL118" i="8"/>
  <c r="CD70" i="8"/>
  <c r="CW70" i="8" s="1"/>
  <c r="CD135" i="8"/>
  <c r="CL47" i="8"/>
  <c r="CM92" i="8"/>
  <c r="CD118" i="8"/>
  <c r="CD41" i="8"/>
  <c r="CL169" i="8"/>
  <c r="CM79" i="8"/>
  <c r="CB113" i="8"/>
  <c r="CA113" i="8"/>
  <c r="CD113" i="8"/>
  <c r="CK113" i="8" s="1"/>
  <c r="CM164" i="8"/>
  <c r="CL142" i="8"/>
  <c r="BW96" i="8"/>
  <c r="CD49" i="8"/>
  <c r="CV49" i="8" s="1"/>
  <c r="CD164" i="8"/>
  <c r="CD64" i="8"/>
  <c r="CD56" i="8"/>
  <c r="CK56" i="8" s="1"/>
  <c r="CD170" i="8"/>
  <c r="CB170" i="8"/>
  <c r="CL155" i="8"/>
  <c r="CD133" i="8"/>
  <c r="CW133" i="8" s="1"/>
  <c r="CL65" i="8"/>
  <c r="CD46" i="8"/>
  <c r="CD165" i="8"/>
  <c r="CK165" i="8" s="1"/>
  <c r="CL91" i="8"/>
  <c r="BW87" i="8"/>
  <c r="CL115" i="8"/>
  <c r="CL147" i="8"/>
  <c r="CD88" i="8"/>
  <c r="CD137" i="8"/>
  <c r="CD151" i="8"/>
  <c r="CA151" i="8"/>
  <c r="CL139" i="8"/>
  <c r="CD80" i="8"/>
  <c r="CD143" i="8"/>
  <c r="CV143" i="8" s="1"/>
  <c r="CB143" i="8"/>
  <c r="AL132" i="8"/>
  <c r="BZ132" i="8"/>
  <c r="CG132" i="8" s="1"/>
  <c r="CL93" i="8"/>
  <c r="CD91" i="8"/>
  <c r="CL164" i="8"/>
  <c r="CB149" i="8"/>
  <c r="CD149" i="8"/>
  <c r="CL116" i="8"/>
  <c r="CL90" i="8"/>
  <c r="CM138" i="8"/>
  <c r="CL56" i="8"/>
  <c r="CD121" i="8"/>
  <c r="CL41" i="8"/>
  <c r="CD148" i="8"/>
  <c r="CW148" i="8" s="1"/>
  <c r="CD95" i="8"/>
  <c r="CB95" i="8"/>
  <c r="CD52" i="8"/>
  <c r="CL168" i="8"/>
  <c r="CL86" i="8"/>
  <c r="CM163" i="8"/>
  <c r="CD128" i="8"/>
  <c r="CV128" i="8" s="1"/>
  <c r="CD112" i="8"/>
  <c r="CK112" i="8" s="1"/>
  <c r="CL172" i="8"/>
  <c r="CL71" i="8"/>
  <c r="CD168" i="8"/>
  <c r="CD79" i="8"/>
  <c r="CB79" i="8"/>
  <c r="CL101" i="8"/>
  <c r="CD105" i="8"/>
  <c r="CL80" i="8"/>
  <c r="CD86" i="8"/>
  <c r="CV86" i="8" s="1"/>
  <c r="CL161" i="8"/>
  <c r="CD138" i="8"/>
  <c r="CV138" i="8" s="1"/>
  <c r="CD142" i="8"/>
  <c r="CX142" i="8" s="1"/>
  <c r="CB142" i="8"/>
  <c r="CD141" i="8"/>
  <c r="CV141" i="8" s="1"/>
  <c r="CM147" i="8"/>
  <c r="CD160" i="8"/>
  <c r="CD136" i="8"/>
  <c r="CM113" i="8"/>
  <c r="CL159" i="8"/>
  <c r="CD152" i="8"/>
  <c r="CM99" i="8"/>
  <c r="CD54" i="8"/>
  <c r="CW54" i="8" s="1"/>
  <c r="CD92" i="8"/>
  <c r="CB92" i="8"/>
  <c r="CL149" i="8"/>
  <c r="CD126" i="8"/>
  <c r="CA126" i="8"/>
  <c r="CB126" i="8"/>
  <c r="CL84" i="8"/>
  <c r="CD161" i="8"/>
  <c r="CW161" i="8" s="1"/>
  <c r="CD146" i="8"/>
  <c r="CD110" i="8"/>
  <c r="CD84" i="8"/>
  <c r="CB84" i="8"/>
  <c r="CA84" i="8"/>
  <c r="CL171" i="8"/>
  <c r="CD123" i="8"/>
  <c r="CM70" i="8"/>
  <c r="CL89" i="8"/>
  <c r="CL165" i="8"/>
  <c r="CD101" i="8"/>
  <c r="CM116" i="8"/>
  <c r="CD40" i="8"/>
  <c r="CW40" i="8" s="1"/>
  <c r="CA82" i="8"/>
  <c r="CD82" i="8"/>
  <c r="CN82" i="8" s="1"/>
  <c r="CL153" i="8"/>
  <c r="CD69" i="8"/>
  <c r="CD124" i="8"/>
  <c r="AK70" i="8"/>
  <c r="AL137" i="8"/>
  <c r="AL93" i="8"/>
  <c r="AL130" i="8"/>
  <c r="AL105" i="8"/>
  <c r="AL171" i="8"/>
  <c r="AL44" i="8"/>
  <c r="AA177" i="9"/>
  <c r="AL85" i="8"/>
  <c r="AL109" i="8"/>
  <c r="AJ75" i="8"/>
  <c r="AL50" i="8"/>
  <c r="AB75" i="8"/>
  <c r="AL45" i="8"/>
  <c r="AL118" i="8"/>
  <c r="AK153" i="8"/>
  <c r="AJ108" i="8"/>
  <c r="BZ107" i="8"/>
  <c r="P9" i="8" s="1"/>
  <c r="AK85" i="8"/>
  <c r="AL78" i="8"/>
  <c r="AL160" i="8"/>
  <c r="AL123" i="8"/>
  <c r="AL87" i="8"/>
  <c r="AL141" i="8"/>
  <c r="AL124" i="8"/>
  <c r="AL121" i="8"/>
  <c r="AL151" i="8"/>
  <c r="AL82" i="8"/>
  <c r="AL156" i="8"/>
  <c r="AL135" i="8"/>
  <c r="AL112" i="8"/>
  <c r="AL148" i="8"/>
  <c r="AL96" i="8"/>
  <c r="AL174" i="8"/>
  <c r="AL153" i="8"/>
  <c r="AK50" i="8"/>
  <c r="AK156" i="8"/>
  <c r="AL70" i="8"/>
  <c r="AL49" i="8"/>
  <c r="AL157" i="8"/>
  <c r="AL165" i="8"/>
  <c r="AL139" i="8"/>
  <c r="AL120" i="8"/>
  <c r="AK118" i="8"/>
  <c r="AL155" i="8"/>
  <c r="AL129" i="8"/>
  <c r="AL102" i="8"/>
  <c r="AK126" i="8"/>
  <c r="AK133" i="8"/>
  <c r="AL91" i="8"/>
  <c r="AK72" i="8"/>
  <c r="AL100" i="8"/>
  <c r="AK98" i="8"/>
  <c r="AL72" i="8"/>
  <c r="AL95" i="8"/>
  <c r="AL127" i="8"/>
  <c r="AK94" i="8"/>
  <c r="AL48" i="8"/>
  <c r="AK40" i="8"/>
  <c r="AL94" i="8"/>
  <c r="AL37" i="8"/>
  <c r="AL42" i="8"/>
  <c r="AL142" i="8"/>
  <c r="AL169" i="8"/>
  <c r="AL81" i="8"/>
  <c r="AL40" i="8"/>
  <c r="AL133" i="8"/>
  <c r="AL99" i="8"/>
  <c r="AK119" i="8"/>
  <c r="AL76" i="8"/>
  <c r="AK38" i="8"/>
  <c r="AK143" i="8"/>
  <c r="AL158" i="8"/>
  <c r="AK125" i="8"/>
  <c r="AL79" i="8"/>
  <c r="AK82" i="8"/>
  <c r="AK81" i="8"/>
  <c r="AK171" i="8"/>
  <c r="AK120" i="8"/>
  <c r="AK129" i="8"/>
  <c r="AK47" i="8"/>
  <c r="AL149" i="8"/>
  <c r="AK147" i="8"/>
  <c r="AK132" i="8"/>
  <c r="AL113" i="8"/>
  <c r="AL47" i="8"/>
  <c r="AL38" i="8"/>
  <c r="AL161" i="8"/>
  <c r="AL147" i="8"/>
  <c r="AK102" i="8"/>
  <c r="BZ38" i="8"/>
  <c r="CG38" i="8" s="1"/>
  <c r="AL55" i="8"/>
  <c r="AK161" i="8"/>
  <c r="AL111" i="8"/>
  <c r="BZ74" i="8"/>
  <c r="P7" i="8" s="1"/>
  <c r="AL172" i="8"/>
  <c r="AL92" i="8"/>
  <c r="BX175" i="8"/>
  <c r="AL119" i="8"/>
  <c r="AK43" i="8"/>
  <c r="AK112" i="8"/>
  <c r="AK131" i="8"/>
  <c r="AK137" i="8"/>
  <c r="AL131" i="8"/>
  <c r="AK96" i="8"/>
  <c r="AL101" i="8"/>
  <c r="AK48" i="8"/>
  <c r="AK169" i="8"/>
  <c r="AK130" i="8"/>
  <c r="AK91" i="8"/>
  <c r="AK174" i="8"/>
  <c r="AL56" i="8"/>
  <c r="AK157" i="8"/>
  <c r="AK144" i="8"/>
  <c r="AK158" i="8"/>
  <c r="AK134" i="8"/>
  <c r="AL144" i="8"/>
  <c r="AK110" i="8"/>
  <c r="AL63" i="8"/>
  <c r="BZ37" i="8"/>
  <c r="AL134" i="8"/>
  <c r="AL110" i="8"/>
  <c r="AK78" i="8"/>
  <c r="AL57" i="8"/>
  <c r="AL39" i="8"/>
  <c r="AK127" i="8"/>
  <c r="AK111" i="8"/>
  <c r="AL150" i="8"/>
  <c r="AK122" i="8"/>
  <c r="AL173" i="8"/>
  <c r="AL170" i="8"/>
  <c r="AK155" i="8"/>
  <c r="AL122" i="8"/>
  <c r="AK105" i="8"/>
  <c r="AK68" i="8"/>
  <c r="AL43" i="8"/>
  <c r="AL52" i="8"/>
  <c r="AK54" i="8"/>
  <c r="AK173" i="8"/>
  <c r="AK172" i="8"/>
  <c r="AK139" i="8"/>
  <c r="AL143" i="8"/>
  <c r="AK123" i="8"/>
  <c r="AK104" i="8"/>
  <c r="AK77" i="8"/>
  <c r="AL68" i="8"/>
  <c r="AL54" i="8"/>
  <c r="AK150" i="8"/>
  <c r="AL103" i="8"/>
  <c r="AL104" i="8"/>
  <c r="AL77" i="8"/>
  <c r="AL152" i="8"/>
  <c r="AL128" i="8"/>
  <c r="AK170" i="8"/>
  <c r="AK113" i="8"/>
  <c r="AL67" i="8"/>
  <c r="AL98" i="8"/>
  <c r="AK67" i="8"/>
  <c r="AK84" i="8"/>
  <c r="BY74" i="8"/>
  <c r="AK57" i="8"/>
  <c r="AK55" i="8"/>
  <c r="AL84" i="8"/>
  <c r="AK100" i="8"/>
  <c r="AK46" i="8"/>
  <c r="AJ58" i="8"/>
  <c r="AL136" i="8"/>
  <c r="AL146" i="8"/>
  <c r="AL86" i="8"/>
  <c r="AK151" i="8"/>
  <c r="AL74" i="8"/>
  <c r="AK71" i="8"/>
  <c r="AK51" i="8"/>
  <c r="AK101" i="8"/>
  <c r="AK99" i="8"/>
  <c r="AL71" i="8"/>
  <c r="AL51" i="8"/>
  <c r="AK44" i="8"/>
  <c r="BW74" i="8"/>
  <c r="M7" i="8" s="1"/>
  <c r="F7" i="8"/>
  <c r="AK97" i="8"/>
  <c r="AK39" i="8"/>
  <c r="AL97" i="8"/>
  <c r="AK80" i="8"/>
  <c r="AK49" i="8"/>
  <c r="T175" i="8"/>
  <c r="AK146" i="8"/>
  <c r="AK136" i="8"/>
  <c r="AL116" i="8"/>
  <c r="AK87" i="8"/>
  <c r="AL80" i="8"/>
  <c r="AK53" i="8"/>
  <c r="AK154" i="8"/>
  <c r="AK109" i="8"/>
  <c r="AL53" i="8"/>
  <c r="G11" i="8"/>
  <c r="G27" i="8" s="1"/>
  <c r="AK163" i="8"/>
  <c r="AL154" i="8"/>
  <c r="AK121" i="8"/>
  <c r="AK128" i="8"/>
  <c r="AK86" i="8"/>
  <c r="AK66" i="8"/>
  <c r="H5" i="8"/>
  <c r="H21" i="8" s="1"/>
  <c r="AK42" i="8"/>
  <c r="AK124" i="8"/>
  <c r="AK135" i="8"/>
  <c r="AK103" i="8"/>
  <c r="AK95" i="8"/>
  <c r="AB58" i="8"/>
  <c r="AL66" i="8"/>
  <c r="AK41" i="8"/>
  <c r="I5" i="8"/>
  <c r="I21" i="8" s="1"/>
  <c r="AK52" i="8"/>
  <c r="AK148" i="8"/>
  <c r="AK149" i="8"/>
  <c r="AK152" i="8"/>
  <c r="AK138" i="8"/>
  <c r="AL90" i="8"/>
  <c r="AL41" i="8"/>
  <c r="F5" i="8"/>
  <c r="AK45" i="8"/>
  <c r="AB175" i="8"/>
  <c r="H11" i="8"/>
  <c r="H27" i="8" s="1"/>
  <c r="H23" i="8"/>
  <c r="AK168" i="8"/>
  <c r="AK165" i="8"/>
  <c r="AL138" i="8"/>
  <c r="AK79" i="8"/>
  <c r="AK83" i="8"/>
  <c r="L58" i="8"/>
  <c r="AL168" i="8"/>
  <c r="AK92" i="8"/>
  <c r="AK56" i="8"/>
  <c r="AL167" i="8"/>
  <c r="AK167" i="8"/>
  <c r="AJ175" i="8"/>
  <c r="BZ167" i="8"/>
  <c r="I11" i="8"/>
  <c r="I27" i="8" s="1"/>
  <c r="L175" i="8"/>
  <c r="F11" i="8"/>
  <c r="F27" i="8" s="1"/>
  <c r="AK160" i="8"/>
  <c r="F10" i="8"/>
  <c r="AK116" i="8"/>
  <c r="AL62" i="8"/>
  <c r="AL88" i="8"/>
  <c r="AK88" i="8"/>
  <c r="I8" i="8"/>
  <c r="I24" i="8" s="1"/>
  <c r="BY175" i="8"/>
  <c r="AL164" i="8"/>
  <c r="AK164" i="8"/>
  <c r="AL163" i="8"/>
  <c r="AL117" i="8"/>
  <c r="AK117" i="8"/>
  <c r="BZ117" i="8"/>
  <c r="I10" i="8"/>
  <c r="I26" i="8" s="1"/>
  <c r="AK90" i="8"/>
  <c r="T58" i="8"/>
  <c r="BX37" i="8"/>
  <c r="G5" i="8"/>
  <c r="AB73" i="8"/>
  <c r="H6" i="8"/>
  <c r="BY59" i="8"/>
  <c r="BW58" i="8"/>
  <c r="CD37" i="8"/>
  <c r="AK159" i="8"/>
  <c r="AL159" i="8"/>
  <c r="AL162" i="8"/>
  <c r="AL114" i="8"/>
  <c r="AK114" i="8"/>
  <c r="BW107" i="8"/>
  <c r="M9" i="8" s="1"/>
  <c r="L108" i="8"/>
  <c r="F9" i="8"/>
  <c r="AK141" i="8"/>
  <c r="BX76" i="8"/>
  <c r="BX106" i="8" s="1"/>
  <c r="G8" i="8"/>
  <c r="G24" i="8" s="1"/>
  <c r="H8" i="8"/>
  <c r="AK62" i="8"/>
  <c r="CF38" i="8"/>
  <c r="T108" i="8"/>
  <c r="BX107" i="8"/>
  <c r="G9" i="8"/>
  <c r="G25" i="8" s="1"/>
  <c r="BW76" i="8"/>
  <c r="BW106" i="8" s="1"/>
  <c r="F8" i="8"/>
  <c r="AJ73" i="8"/>
  <c r="AK59" i="8"/>
  <c r="I6" i="8"/>
  <c r="I22" i="8" s="1"/>
  <c r="BZ59" i="8"/>
  <c r="AL59" i="8"/>
  <c r="AK69" i="8"/>
  <c r="BY58" i="8"/>
  <c r="AL64" i="8"/>
  <c r="AK64" i="8"/>
  <c r="AL145" i="8"/>
  <c r="AK145" i="8"/>
  <c r="BY117" i="8"/>
  <c r="H10" i="8"/>
  <c r="G10" i="8"/>
  <c r="G26" i="8" s="1"/>
  <c r="AK162" i="8"/>
  <c r="T75" i="8"/>
  <c r="BX74" i="8"/>
  <c r="G7" i="8"/>
  <c r="AK60" i="8"/>
  <c r="BZ60" i="8"/>
  <c r="CG60" i="8" s="1"/>
  <c r="AL60" i="8"/>
  <c r="AL69" i="8"/>
  <c r="AK61" i="8"/>
  <c r="AK142" i="8"/>
  <c r="AK107" i="8"/>
  <c r="AB108" i="8"/>
  <c r="BY107" i="8"/>
  <c r="AL107" i="8"/>
  <c r="H9" i="8"/>
  <c r="AK76" i="8"/>
  <c r="L73" i="8"/>
  <c r="F6" i="8"/>
  <c r="BW59" i="8"/>
  <c r="AK74" i="8"/>
  <c r="AL61" i="8"/>
  <c r="AK63" i="8"/>
  <c r="AK37" i="8"/>
  <c r="AK115" i="8"/>
  <c r="AL115" i="8"/>
  <c r="AL140" i="8"/>
  <c r="AK140" i="8"/>
  <c r="AK93" i="8"/>
  <c r="AL89" i="8"/>
  <c r="AK89" i="8"/>
  <c r="AL65" i="8"/>
  <c r="AK65" i="8"/>
  <c r="T73" i="8"/>
  <c r="BX59" i="8"/>
  <c r="G6" i="8"/>
  <c r="G22" i="8" s="1"/>
  <c r="CA92" i="8" l="1"/>
  <c r="CE109" i="8"/>
  <c r="CE166" i="8" s="1"/>
  <c r="BX166" i="8"/>
  <c r="AL166" i="8"/>
  <c r="AK166" i="8"/>
  <c r="O24" i="8"/>
  <c r="CF106" i="8"/>
  <c r="AK175" i="8"/>
  <c r="AL175" i="8"/>
  <c r="CG109" i="8"/>
  <c r="BZ166" i="8"/>
  <c r="BW166" i="8"/>
  <c r="AK75" i="8"/>
  <c r="AL75" i="8"/>
  <c r="CG76" i="8"/>
  <c r="CG106" i="8" s="1"/>
  <c r="BZ106" i="8"/>
  <c r="CF109" i="8"/>
  <c r="CW109" i="8" s="1"/>
  <c r="BY166" i="8"/>
  <c r="AK106" i="8"/>
  <c r="AL106" i="8"/>
  <c r="AL108" i="8"/>
  <c r="AK108" i="8"/>
  <c r="CA95" i="8"/>
  <c r="CA130" i="8"/>
  <c r="CB39" i="8"/>
  <c r="CA160" i="8"/>
  <c r="CB118" i="8"/>
  <c r="CA88" i="8"/>
  <c r="CB147" i="8"/>
  <c r="CA158" i="8"/>
  <c r="CB151" i="8"/>
  <c r="CB165" i="8"/>
  <c r="CA147" i="8"/>
  <c r="CA50" i="8"/>
  <c r="CA79" i="8"/>
  <c r="CX149" i="8"/>
  <c r="CA109" i="8"/>
  <c r="CA124" i="8"/>
  <c r="CN79" i="8"/>
  <c r="CA70" i="8"/>
  <c r="CN146" i="8"/>
  <c r="CB70" i="8"/>
  <c r="CA61" i="8"/>
  <c r="CB159" i="8"/>
  <c r="CA155" i="8"/>
  <c r="CA44" i="8"/>
  <c r="CA156" i="8"/>
  <c r="CX68" i="8"/>
  <c r="CB155" i="8"/>
  <c r="CB160" i="8"/>
  <c r="CA161" i="8"/>
  <c r="CA168" i="8"/>
  <c r="CB128" i="8"/>
  <c r="CB47" i="8"/>
  <c r="CA103" i="8"/>
  <c r="CB161" i="8"/>
  <c r="CA142" i="8"/>
  <c r="CB168" i="8"/>
  <c r="CA118" i="8"/>
  <c r="CA110" i="8"/>
  <c r="CA164" i="8"/>
  <c r="CA127" i="8"/>
  <c r="CA129" i="8"/>
  <c r="CA102" i="8"/>
  <c r="CA65" i="8"/>
  <c r="CN55" i="8"/>
  <c r="CB112" i="8"/>
  <c r="CB164" i="8"/>
  <c r="CB127" i="8"/>
  <c r="CB102" i="8"/>
  <c r="CA55" i="8"/>
  <c r="CB110" i="8"/>
  <c r="CX52" i="8"/>
  <c r="CN172" i="8"/>
  <c r="CN127" i="8"/>
  <c r="CA116" i="8"/>
  <c r="CN47" i="8"/>
  <c r="CB86" i="8"/>
  <c r="CA139" i="8"/>
  <c r="CB116" i="8"/>
  <c r="CA47" i="8"/>
  <c r="CB103" i="8"/>
  <c r="CN163" i="8"/>
  <c r="CN53" i="8"/>
  <c r="CB162" i="8"/>
  <c r="CB81" i="8"/>
  <c r="CA162" i="8"/>
  <c r="CB82" i="8"/>
  <c r="CB123" i="8"/>
  <c r="CA112" i="8"/>
  <c r="CA72" i="8"/>
  <c r="CB65" i="8"/>
  <c r="CN103" i="8"/>
  <c r="CA157" i="8"/>
  <c r="CA128" i="8"/>
  <c r="CN150" i="8"/>
  <c r="CA104" i="8"/>
  <c r="CB55" i="8"/>
  <c r="CA86" i="8"/>
  <c r="CA148" i="8"/>
  <c r="CB48" i="8"/>
  <c r="CN90" i="8"/>
  <c r="CA94" i="8"/>
  <c r="CA163" i="8"/>
  <c r="CX111" i="8"/>
  <c r="CB53" i="8"/>
  <c r="CB130" i="8"/>
  <c r="CB93" i="8"/>
  <c r="CA66" i="8"/>
  <c r="CB66" i="8"/>
  <c r="CN152" i="8"/>
  <c r="CN80" i="8"/>
  <c r="CA53" i="8"/>
  <c r="CB43" i="8"/>
  <c r="CB80" i="8"/>
  <c r="CA115" i="8"/>
  <c r="CB150" i="8"/>
  <c r="CB111" i="8"/>
  <c r="CN64" i="8"/>
  <c r="CB61" i="8"/>
  <c r="CA45" i="8"/>
  <c r="CB109" i="8"/>
  <c r="CX158" i="8"/>
  <c r="CA64" i="8"/>
  <c r="CX61" i="8"/>
  <c r="CB45" i="8"/>
  <c r="CB50" i="8"/>
  <c r="CA133" i="8"/>
  <c r="CB64" i="8"/>
  <c r="CB171" i="8"/>
  <c r="CB154" i="8"/>
  <c r="CA40" i="8"/>
  <c r="CB40" i="8"/>
  <c r="CA146" i="8"/>
  <c r="CB138" i="8"/>
  <c r="CX153" i="8"/>
  <c r="CA136" i="8"/>
  <c r="CB56" i="8"/>
  <c r="CB125" i="8"/>
  <c r="CA134" i="8"/>
  <c r="CB77" i="8"/>
  <c r="CB89" i="8"/>
  <c r="CB133" i="8"/>
  <c r="CA159" i="8"/>
  <c r="CA93" i="8"/>
  <c r="CA153" i="8"/>
  <c r="CB134" i="8"/>
  <c r="CA152" i="8"/>
  <c r="CA90" i="8"/>
  <c r="CB152" i="8"/>
  <c r="CB88" i="8"/>
  <c r="CB98" i="8"/>
  <c r="CN173" i="8"/>
  <c r="CA131" i="8"/>
  <c r="CA173" i="8"/>
  <c r="CN78" i="8"/>
  <c r="CN68" i="8"/>
  <c r="CA123" i="8"/>
  <c r="CA54" i="8"/>
  <c r="CA125" i="8"/>
  <c r="CB131" i="8"/>
  <c r="CB173" i="8"/>
  <c r="CA77" i="8"/>
  <c r="CA78" i="8"/>
  <c r="CB54" i="8"/>
  <c r="CA56" i="8"/>
  <c r="CN77" i="8"/>
  <c r="CA89" i="8"/>
  <c r="CB124" i="8"/>
  <c r="CA138" i="8"/>
  <c r="CB148" i="8"/>
  <c r="CA143" i="8"/>
  <c r="CN165" i="8"/>
  <c r="CN170" i="8"/>
  <c r="CA48" i="8"/>
  <c r="CB139" i="8"/>
  <c r="CB94" i="8"/>
  <c r="CA98" i="8"/>
  <c r="CN93" i="8"/>
  <c r="CA39" i="8"/>
  <c r="CN171" i="8"/>
  <c r="CB156" i="8"/>
  <c r="CN162" i="8"/>
  <c r="CX116" i="8"/>
  <c r="CB100" i="8"/>
  <c r="CA97" i="8"/>
  <c r="CA42" i="8"/>
  <c r="CN89" i="8"/>
  <c r="CB157" i="8"/>
  <c r="CB42" i="8"/>
  <c r="CB146" i="8"/>
  <c r="CA149" i="8"/>
  <c r="CA80" i="8"/>
  <c r="CB163" i="8"/>
  <c r="CB62" i="8"/>
  <c r="CN44" i="8"/>
  <c r="CB90" i="8"/>
  <c r="CA68" i="8"/>
  <c r="CA81" i="8"/>
  <c r="CA43" i="8"/>
  <c r="CB104" i="8"/>
  <c r="CA111" i="8"/>
  <c r="CA101" i="8"/>
  <c r="CB153" i="8"/>
  <c r="CB63" i="8"/>
  <c r="CA119" i="8"/>
  <c r="CN144" i="8"/>
  <c r="CB101" i="8"/>
  <c r="CA91" i="8"/>
  <c r="CA144" i="8"/>
  <c r="CA135" i="8"/>
  <c r="CB115" i="8"/>
  <c r="CB121" i="8"/>
  <c r="CN91" i="8"/>
  <c r="CB41" i="8"/>
  <c r="CB135" i="8"/>
  <c r="CB119" i="8"/>
  <c r="CB144" i="8"/>
  <c r="CA121" i="8"/>
  <c r="CB91" i="8"/>
  <c r="CA49" i="8"/>
  <c r="CA51" i="8"/>
  <c r="M8" i="8"/>
  <c r="CX121" i="8"/>
  <c r="CB49" i="8"/>
  <c r="CB51" i="8"/>
  <c r="L57" i="10"/>
  <c r="S57" i="10" s="1"/>
  <c r="N57" i="10"/>
  <c r="AB57" i="10" s="1"/>
  <c r="K57" i="10"/>
  <c r="R57" i="10" s="1"/>
  <c r="CA154" i="8"/>
  <c r="CA63" i="8"/>
  <c r="CA165" i="8"/>
  <c r="K64" i="10"/>
  <c r="L66" i="10"/>
  <c r="K66" i="10"/>
  <c r="L67" i="10"/>
  <c r="K67" i="10"/>
  <c r="L63" i="10"/>
  <c r="K63" i="10"/>
  <c r="L62" i="10"/>
  <c r="K62" i="10"/>
  <c r="L64" i="10"/>
  <c r="CX168" i="8"/>
  <c r="CA172" i="8"/>
  <c r="CA171" i="8"/>
  <c r="CB122" i="8"/>
  <c r="CA122" i="8"/>
  <c r="CN122" i="8"/>
  <c r="CB129" i="8"/>
  <c r="BU60" i="8"/>
  <c r="BT60" i="8"/>
  <c r="CB69" i="8"/>
  <c r="CB136" i="8"/>
  <c r="CA52" i="8"/>
  <c r="CB97" i="8"/>
  <c r="CA145" i="8"/>
  <c r="CA67" i="8"/>
  <c r="BU152" i="8"/>
  <c r="BT152" i="8"/>
  <c r="BC107" i="8"/>
  <c r="BC108" i="8" s="1"/>
  <c r="BT42" i="8"/>
  <c r="BU42" i="8"/>
  <c r="BU120" i="8"/>
  <c r="BT120" i="8"/>
  <c r="BU50" i="8"/>
  <c r="BT50" i="8"/>
  <c r="BU82" i="8"/>
  <c r="BT82" i="8"/>
  <c r="BU151" i="8"/>
  <c r="BT151" i="8"/>
  <c r="BC117" i="8"/>
  <c r="BC166" i="8" s="1"/>
  <c r="BS117" i="8"/>
  <c r="BS166" i="8" s="1"/>
  <c r="BU161" i="8"/>
  <c r="BT161" i="8"/>
  <c r="BU63" i="8"/>
  <c r="BT63" i="8"/>
  <c r="BU100" i="8"/>
  <c r="BT100" i="8"/>
  <c r="BU72" i="8"/>
  <c r="BT72" i="8"/>
  <c r="BU157" i="8"/>
  <c r="BT157" i="8"/>
  <c r="BU57" i="8"/>
  <c r="BT57" i="8"/>
  <c r="BU153" i="8"/>
  <c r="BT153" i="8"/>
  <c r="BL175" i="8"/>
  <c r="BS167" i="8"/>
  <c r="BU127" i="8"/>
  <c r="BT127" i="8"/>
  <c r="CA69" i="8"/>
  <c r="CB52" i="8"/>
  <c r="CB145" i="8"/>
  <c r="BT172" i="8"/>
  <c r="BU172" i="8"/>
  <c r="BT154" i="8"/>
  <c r="BU154" i="8"/>
  <c r="BU80" i="8"/>
  <c r="BT80" i="8"/>
  <c r="BU171" i="8"/>
  <c r="BT171" i="8"/>
  <c r="BS37" i="8"/>
  <c r="BK76" i="8"/>
  <c r="BK106" i="8" s="1"/>
  <c r="BU79" i="8"/>
  <c r="BT79" i="8"/>
  <c r="BT56" i="8"/>
  <c r="BU56" i="8"/>
  <c r="AN73" i="8"/>
  <c r="AU59" i="8"/>
  <c r="AU73" i="8" s="1"/>
  <c r="BU98" i="8"/>
  <c r="BT98" i="8"/>
  <c r="BT61" i="8"/>
  <c r="BU61" i="8"/>
  <c r="BU158" i="8"/>
  <c r="BT158" i="8"/>
  <c r="BU88" i="8"/>
  <c r="BT88" i="8"/>
  <c r="BU113" i="8"/>
  <c r="BT113" i="8"/>
  <c r="BU121" i="8"/>
  <c r="BT121" i="8"/>
  <c r="BT116" i="8"/>
  <c r="BU116" i="8"/>
  <c r="BU102" i="8"/>
  <c r="BT102" i="8"/>
  <c r="BU134" i="8"/>
  <c r="BT134" i="8"/>
  <c r="BU129" i="8"/>
  <c r="BT129" i="8"/>
  <c r="BT155" i="8"/>
  <c r="BU155" i="8"/>
  <c r="BT105" i="8"/>
  <c r="BU105" i="8"/>
  <c r="BD175" i="8"/>
  <c r="BK167" i="8"/>
  <c r="BK175" i="8" s="1"/>
  <c r="AV175" i="8"/>
  <c r="BC167" i="8"/>
  <c r="BC175" i="8" s="1"/>
  <c r="BU133" i="8"/>
  <c r="BT133" i="8"/>
  <c r="BU41" i="8"/>
  <c r="BT41" i="8"/>
  <c r="BU142" i="8"/>
  <c r="BT142" i="8"/>
  <c r="BT66" i="8"/>
  <c r="BU66" i="8"/>
  <c r="CA141" i="8"/>
  <c r="CA137" i="8"/>
  <c r="CB67" i="8"/>
  <c r="BU170" i="8"/>
  <c r="BT170" i="8"/>
  <c r="BT146" i="8"/>
  <c r="BU146" i="8"/>
  <c r="BU159" i="8"/>
  <c r="BT159" i="8"/>
  <c r="BT48" i="8"/>
  <c r="BU48" i="8"/>
  <c r="BU97" i="8"/>
  <c r="BT97" i="8"/>
  <c r="BU55" i="8"/>
  <c r="BT55" i="8"/>
  <c r="BU165" i="8"/>
  <c r="BT165" i="8"/>
  <c r="BD73" i="8"/>
  <c r="BK59" i="8"/>
  <c r="BK73" i="8" s="1"/>
  <c r="BU168" i="8"/>
  <c r="BT168" i="8"/>
  <c r="BK117" i="8"/>
  <c r="BK166" i="8" s="1"/>
  <c r="BU64" i="8"/>
  <c r="BT64" i="8"/>
  <c r="BU126" i="8"/>
  <c r="BT126" i="8"/>
  <c r="AU74" i="8"/>
  <c r="AU75" i="8" s="1"/>
  <c r="AN75" i="8"/>
  <c r="BT89" i="8"/>
  <c r="BU89" i="8"/>
  <c r="BU122" i="8"/>
  <c r="BT122" i="8"/>
  <c r="BT54" i="8"/>
  <c r="BU54" i="8"/>
  <c r="BU47" i="8"/>
  <c r="BT47" i="8"/>
  <c r="BS76" i="8"/>
  <c r="BS106" i="8" s="1"/>
  <c r="BU85" i="8"/>
  <c r="BT85" i="8"/>
  <c r="BL73" i="8"/>
  <c r="BS59" i="8"/>
  <c r="BT139" i="8"/>
  <c r="BU139" i="8"/>
  <c r="BU87" i="8"/>
  <c r="BT87" i="8"/>
  <c r="P11" i="8"/>
  <c r="W11" i="8" s="1"/>
  <c r="CA105" i="8"/>
  <c r="CB137" i="8"/>
  <c r="CA170" i="8"/>
  <c r="CA41" i="8"/>
  <c r="CB172" i="8"/>
  <c r="CA85" i="8"/>
  <c r="CN169" i="8"/>
  <c r="CN57" i="8"/>
  <c r="BU137" i="8"/>
  <c r="BT137" i="8"/>
  <c r="BT163" i="8"/>
  <c r="BU163" i="8"/>
  <c r="BU115" i="8"/>
  <c r="BT115" i="8"/>
  <c r="AU107" i="8"/>
  <c r="AU108" i="8" s="1"/>
  <c r="BU123" i="8"/>
  <c r="BT123" i="8"/>
  <c r="AU37" i="8"/>
  <c r="AU58" i="8" s="1"/>
  <c r="AN58" i="8"/>
  <c r="BC76" i="8"/>
  <c r="BC106" i="8" s="1"/>
  <c r="BU112" i="8"/>
  <c r="BT112" i="8"/>
  <c r="BU109" i="8"/>
  <c r="BT109" i="8"/>
  <c r="BU118" i="8"/>
  <c r="BT118" i="8"/>
  <c r="BT51" i="8"/>
  <c r="BU51" i="8"/>
  <c r="BU169" i="8"/>
  <c r="BT169" i="8"/>
  <c r="BU124" i="8"/>
  <c r="BT124" i="8"/>
  <c r="BT95" i="8"/>
  <c r="BU95" i="8"/>
  <c r="BU39" i="8"/>
  <c r="BT39" i="8"/>
  <c r="BU67" i="8"/>
  <c r="BT67" i="8"/>
  <c r="BU141" i="8"/>
  <c r="BT141" i="8"/>
  <c r="BU52" i="8"/>
  <c r="BT52" i="8"/>
  <c r="BS74" i="8"/>
  <c r="BL75" i="8"/>
  <c r="BU83" i="8"/>
  <c r="BT83" i="8"/>
  <c r="BU77" i="8"/>
  <c r="BT77" i="8"/>
  <c r="BU70" i="8"/>
  <c r="BT70" i="8"/>
  <c r="BT147" i="8"/>
  <c r="BU147" i="8"/>
  <c r="BU125" i="8"/>
  <c r="BT125" i="8"/>
  <c r="BU130" i="8"/>
  <c r="BT130" i="8"/>
  <c r="CB141" i="8"/>
  <c r="CB105" i="8"/>
  <c r="CX137" i="8"/>
  <c r="CA169" i="8"/>
  <c r="CB57" i="8"/>
  <c r="BT62" i="8"/>
  <c r="BU62" i="8"/>
  <c r="BU90" i="8"/>
  <c r="BT90" i="8"/>
  <c r="BU104" i="8"/>
  <c r="BT104" i="8"/>
  <c r="BK37" i="8"/>
  <c r="BK58" i="8" s="1"/>
  <c r="BD58" i="8"/>
  <c r="BU145" i="8"/>
  <c r="BT145" i="8"/>
  <c r="BU174" i="8"/>
  <c r="BT174" i="8"/>
  <c r="BU96" i="8"/>
  <c r="BT96" i="8"/>
  <c r="BU135" i="8"/>
  <c r="BT135" i="8"/>
  <c r="BU156" i="8"/>
  <c r="BT156" i="8"/>
  <c r="BU84" i="8"/>
  <c r="BT84" i="8"/>
  <c r="BU71" i="8"/>
  <c r="BT71" i="8"/>
  <c r="BU111" i="8"/>
  <c r="BT111" i="8"/>
  <c r="BU149" i="8"/>
  <c r="BT149" i="8"/>
  <c r="BU103" i="8"/>
  <c r="BT103" i="8"/>
  <c r="BU44" i="8"/>
  <c r="BT44" i="8"/>
  <c r="BU114" i="8"/>
  <c r="BT114" i="8"/>
  <c r="BU110" i="8"/>
  <c r="BT110" i="8"/>
  <c r="BU144" i="8"/>
  <c r="BT144" i="8"/>
  <c r="AN175" i="8"/>
  <c r="AU167" i="8"/>
  <c r="AU175" i="8" s="1"/>
  <c r="BU160" i="8"/>
  <c r="BT160" i="8"/>
  <c r="BU38" i="8"/>
  <c r="BT38" i="8"/>
  <c r="BC74" i="8"/>
  <c r="BC75" i="8" s="1"/>
  <c r="AV75" i="8"/>
  <c r="CN62" i="8"/>
  <c r="CB85" i="8"/>
  <c r="CB169" i="8"/>
  <c r="CA57" i="8"/>
  <c r="BT131" i="8"/>
  <c r="BU131" i="8"/>
  <c r="BT162" i="8"/>
  <c r="BU162" i="8"/>
  <c r="BT138" i="8"/>
  <c r="BU138" i="8"/>
  <c r="BU53" i="8"/>
  <c r="BT53" i="8"/>
  <c r="BT173" i="8"/>
  <c r="BU173" i="8"/>
  <c r="BU81" i="8"/>
  <c r="BT81" i="8"/>
  <c r="BS107" i="8"/>
  <c r="BS108" i="8" s="1"/>
  <c r="BU132" i="8"/>
  <c r="BT132" i="8"/>
  <c r="BU91" i="8"/>
  <c r="BT91" i="8"/>
  <c r="BU164" i="8"/>
  <c r="BT164" i="8"/>
  <c r="BU93" i="8"/>
  <c r="BT93" i="8"/>
  <c r="BU148" i="8"/>
  <c r="BT148" i="8"/>
  <c r="AV73" i="8"/>
  <c r="BC59" i="8"/>
  <c r="BC73" i="8" s="1"/>
  <c r="BU101" i="8"/>
  <c r="BT101" i="8"/>
  <c r="BU49" i="8"/>
  <c r="BT49" i="8"/>
  <c r="BK74" i="8"/>
  <c r="BK75" i="8" s="1"/>
  <c r="BD75" i="8"/>
  <c r="BT40" i="8"/>
  <c r="BU40" i="8"/>
  <c r="BT43" i="8"/>
  <c r="BU43" i="8"/>
  <c r="BU119" i="8"/>
  <c r="BT119" i="8"/>
  <c r="BU143" i="8"/>
  <c r="BT143" i="8"/>
  <c r="BU99" i="8"/>
  <c r="BT99" i="8"/>
  <c r="BC37" i="8"/>
  <c r="BC58" i="8" s="1"/>
  <c r="AV58" i="8"/>
  <c r="CN136" i="8"/>
  <c r="CA62" i="8"/>
  <c r="BT86" i="8"/>
  <c r="BU86" i="8"/>
  <c r="BU128" i="8"/>
  <c r="BT128" i="8"/>
  <c r="BU136" i="8"/>
  <c r="BT136" i="8"/>
  <c r="BU65" i="8"/>
  <c r="BT65" i="8"/>
  <c r="BK107" i="8"/>
  <c r="BK108" i="8" s="1"/>
  <c r="BU78" i="8"/>
  <c r="BT78" i="8"/>
  <c r="BU94" i="8"/>
  <c r="BT94" i="8"/>
  <c r="AU76" i="8"/>
  <c r="AU106" i="8" s="1"/>
  <c r="BU92" i="8"/>
  <c r="BT92" i="8"/>
  <c r="BU150" i="8"/>
  <c r="BT150" i="8"/>
  <c r="BU140" i="8"/>
  <c r="BT140" i="8"/>
  <c r="AU117" i="8"/>
  <c r="AU166" i="8" s="1"/>
  <c r="BU68" i="8"/>
  <c r="BT68" i="8"/>
  <c r="BU45" i="8"/>
  <c r="BT45" i="8"/>
  <c r="BT46" i="8"/>
  <c r="BU46" i="8"/>
  <c r="BU69" i="8"/>
  <c r="BT69" i="8"/>
  <c r="M6" i="8"/>
  <c r="CK55" i="8"/>
  <c r="CM76" i="8"/>
  <c r="O21" i="8"/>
  <c r="CK72" i="8"/>
  <c r="CK109" i="8"/>
  <c r="CN145" i="8"/>
  <c r="CL167" i="8"/>
  <c r="CK144" i="8"/>
  <c r="CE175" i="8"/>
  <c r="CK173" i="8"/>
  <c r="CK103" i="8"/>
  <c r="AL58" i="8"/>
  <c r="CK111" i="8"/>
  <c r="CB83" i="8"/>
  <c r="CK77" i="8"/>
  <c r="CN97" i="8"/>
  <c r="CF175" i="8"/>
  <c r="CA83" i="8"/>
  <c r="CN147" i="8"/>
  <c r="CK117" i="8"/>
  <c r="CK61" i="8"/>
  <c r="CK57" i="8"/>
  <c r="N26" i="8"/>
  <c r="U26" i="8" s="1"/>
  <c r="O46" i="10" s="1"/>
  <c r="AC46" i="10" s="1"/>
  <c r="CN70" i="8"/>
  <c r="CN63" i="8"/>
  <c r="CK45" i="8"/>
  <c r="M21" i="8"/>
  <c r="CK125" i="8"/>
  <c r="CK42" i="8"/>
  <c r="CK78" i="8"/>
  <c r="U27" i="8"/>
  <c r="U10" i="8"/>
  <c r="CF59" i="8"/>
  <c r="O22" i="8" s="1"/>
  <c r="O6" i="8"/>
  <c r="W7" i="8"/>
  <c r="CB46" i="8"/>
  <c r="CN51" i="8"/>
  <c r="W9" i="8"/>
  <c r="CE76" i="8"/>
  <c r="N8" i="8"/>
  <c r="CN113" i="8"/>
  <c r="CN42" i="8"/>
  <c r="CN100" i="8"/>
  <c r="V8" i="8"/>
  <c r="CE74" i="8"/>
  <c r="N23" i="8" s="1"/>
  <c r="N7" i="8"/>
  <c r="CE107" i="8"/>
  <c r="N25" i="8" s="1"/>
  <c r="N9" i="8"/>
  <c r="U11" i="8"/>
  <c r="CA37" i="8"/>
  <c r="N5" i="8"/>
  <c r="CF117" i="8"/>
  <c r="O26" i="8" s="1"/>
  <c r="O10" i="8"/>
  <c r="CK163" i="8"/>
  <c r="V27" i="8"/>
  <c r="V11" i="8"/>
  <c r="CE59" i="8"/>
  <c r="N22" i="8" s="1"/>
  <c r="N6" i="8"/>
  <c r="CF107" i="8"/>
  <c r="O25" i="8" s="1"/>
  <c r="O9" i="8"/>
  <c r="CF74" i="8"/>
  <c r="O23" i="8" s="1"/>
  <c r="O7" i="8"/>
  <c r="T11" i="8"/>
  <c r="CK44" i="8"/>
  <c r="CK130" i="8"/>
  <c r="CN158" i="8"/>
  <c r="CN149" i="8"/>
  <c r="CK158" i="8"/>
  <c r="CX165" i="8"/>
  <c r="CK49" i="8"/>
  <c r="CN111" i="8"/>
  <c r="CV70" i="8"/>
  <c r="CX44" i="8"/>
  <c r="CX156" i="8"/>
  <c r="CK133" i="8"/>
  <c r="CK97" i="8"/>
  <c r="CK63" i="8"/>
  <c r="CX147" i="8"/>
  <c r="I28" i="8"/>
  <c r="CG37" i="8"/>
  <c r="P21" i="8" s="1"/>
  <c r="P5" i="8"/>
  <c r="CG59" i="8"/>
  <c r="P22" i="8" s="1"/>
  <c r="P6" i="8"/>
  <c r="CG117" i="8"/>
  <c r="P26" i="8" s="1"/>
  <c r="P10" i="8"/>
  <c r="P8" i="8"/>
  <c r="P24" i="8"/>
  <c r="CK120" i="8"/>
  <c r="CN157" i="8"/>
  <c r="CK153" i="8"/>
  <c r="CN67" i="8"/>
  <c r="CX130" i="8"/>
  <c r="CW130" i="8"/>
  <c r="CN65" i="8"/>
  <c r="CX63" i="8"/>
  <c r="CK68" i="8"/>
  <c r="CK99" i="8"/>
  <c r="CV54" i="8"/>
  <c r="CK93" i="8"/>
  <c r="CK159" i="8"/>
  <c r="CN85" i="8"/>
  <c r="CN112" i="8"/>
  <c r="CK157" i="8"/>
  <c r="CW143" i="8"/>
  <c r="J27" i="8"/>
  <c r="K27" i="8"/>
  <c r="CU171" i="8"/>
  <c r="CV171" i="8"/>
  <c r="CX171" i="8"/>
  <c r="CW171" i="8"/>
  <c r="CL38" i="8"/>
  <c r="CW38" i="8"/>
  <c r="F23" i="8"/>
  <c r="K7" i="8"/>
  <c r="CU146" i="8"/>
  <c r="CV146" i="8"/>
  <c r="CX146" i="8"/>
  <c r="CN92" i="8"/>
  <c r="CU92" i="8"/>
  <c r="CX92" i="8"/>
  <c r="CW92" i="8"/>
  <c r="CK105" i="8"/>
  <c r="CU105" i="8"/>
  <c r="CW105" i="8"/>
  <c r="CX105" i="8"/>
  <c r="CK79" i="8"/>
  <c r="CK80" i="8"/>
  <c r="CU80" i="8"/>
  <c r="CX80" i="8"/>
  <c r="CW80" i="8"/>
  <c r="CU88" i="8"/>
  <c r="CV88" i="8"/>
  <c r="CX88" i="8"/>
  <c r="CU170" i="8"/>
  <c r="CX170" i="8"/>
  <c r="CK149" i="8"/>
  <c r="CU113" i="8"/>
  <c r="CV113" i="8"/>
  <c r="CW113" i="8"/>
  <c r="CX113" i="8"/>
  <c r="CU99" i="8"/>
  <c r="CX99" i="8"/>
  <c r="CW99" i="8"/>
  <c r="CK98" i="8"/>
  <c r="CU98" i="8"/>
  <c r="CW98" i="8"/>
  <c r="CX98" i="8"/>
  <c r="CU38" i="8"/>
  <c r="CV38" i="8"/>
  <c r="CK155" i="8"/>
  <c r="CU155" i="8"/>
  <c r="CV155" i="8"/>
  <c r="CX155" i="8"/>
  <c r="CW155" i="8"/>
  <c r="CU55" i="8"/>
  <c r="CX55" i="8"/>
  <c r="CV55" i="8"/>
  <c r="CU103" i="8"/>
  <c r="CW103" i="8"/>
  <c r="CV103" i="8"/>
  <c r="CU158" i="8"/>
  <c r="CX67" i="8"/>
  <c r="CX125" i="8"/>
  <c r="CW137" i="8"/>
  <c r="CW48" i="8"/>
  <c r="CX120" i="8"/>
  <c r="CV99" i="8"/>
  <c r="CW88" i="8"/>
  <c r="CX136" i="8"/>
  <c r="CV92" i="8"/>
  <c r="CU152" i="8"/>
  <c r="CX152" i="8"/>
  <c r="CX60" i="8"/>
  <c r="CU69" i="8"/>
  <c r="CX69" i="8"/>
  <c r="CV69" i="8"/>
  <c r="CW69" i="8"/>
  <c r="CN126" i="8"/>
  <c r="CU126" i="8"/>
  <c r="CV126" i="8"/>
  <c r="CK136" i="8"/>
  <c r="CU56" i="8"/>
  <c r="CW56" i="8"/>
  <c r="CX56" i="8"/>
  <c r="CU64" i="8"/>
  <c r="CW64" i="8"/>
  <c r="CN94" i="8"/>
  <c r="CN41" i="8"/>
  <c r="CU41" i="8"/>
  <c r="CX41" i="8"/>
  <c r="CW41" i="8"/>
  <c r="CU172" i="8"/>
  <c r="CV172" i="8"/>
  <c r="CX172" i="8"/>
  <c r="CW172" i="8"/>
  <c r="CK62" i="8"/>
  <c r="CU62" i="8"/>
  <c r="CV62" i="8"/>
  <c r="CX62" i="8"/>
  <c r="CW62" i="8"/>
  <c r="CU39" i="8"/>
  <c r="CW39" i="8"/>
  <c r="CK156" i="8"/>
  <c r="CU156" i="8"/>
  <c r="CU162" i="8"/>
  <c r="CX162" i="8"/>
  <c r="CW162" i="8"/>
  <c r="CU134" i="8"/>
  <c r="CW134" i="8"/>
  <c r="CX134" i="8"/>
  <c r="CU132" i="8"/>
  <c r="CW132" i="8"/>
  <c r="CV132" i="8"/>
  <c r="CU51" i="8"/>
  <c r="CX51" i="8"/>
  <c r="CU57" i="8"/>
  <c r="CV57" i="8"/>
  <c r="CW57" i="8"/>
  <c r="CW127" i="8"/>
  <c r="CW55" i="8"/>
  <c r="CV41" i="8"/>
  <c r="CU50" i="8"/>
  <c r="CX50" i="8"/>
  <c r="CV50" i="8"/>
  <c r="CW50" i="8"/>
  <c r="K9" i="8"/>
  <c r="K10" i="8"/>
  <c r="CU82" i="8"/>
  <c r="CX82" i="8"/>
  <c r="CV82" i="8"/>
  <c r="CW82" i="8"/>
  <c r="CU141" i="8"/>
  <c r="CW141" i="8"/>
  <c r="CU138" i="8"/>
  <c r="CW138" i="8"/>
  <c r="CX138" i="8"/>
  <c r="CN86" i="8"/>
  <c r="CU148" i="8"/>
  <c r="CV148" i="8"/>
  <c r="CX148" i="8"/>
  <c r="CU135" i="8"/>
  <c r="CV135" i="8"/>
  <c r="CX135" i="8"/>
  <c r="CW135" i="8"/>
  <c r="CK53" i="8"/>
  <c r="CU53" i="8"/>
  <c r="CX53" i="8"/>
  <c r="CU83" i="8"/>
  <c r="CV83" i="8"/>
  <c r="CW83" i="8"/>
  <c r="CU116" i="8"/>
  <c r="CV116" i="8"/>
  <c r="CW116" i="8"/>
  <c r="CU169" i="8"/>
  <c r="CK104" i="8"/>
  <c r="CU104" i="8"/>
  <c r="CX104" i="8"/>
  <c r="CV104" i="8"/>
  <c r="CW104" i="8"/>
  <c r="CU145" i="8"/>
  <c r="CW145" i="8"/>
  <c r="CX145" i="8"/>
  <c r="CU89" i="8"/>
  <c r="CW89" i="8"/>
  <c r="CV89" i="8"/>
  <c r="CX89" i="8"/>
  <c r="CU78" i="8"/>
  <c r="CW78" i="8"/>
  <c r="CX78" i="8"/>
  <c r="CV78" i="8"/>
  <c r="CW152" i="8"/>
  <c r="CW163" i="8"/>
  <c r="CV162" i="8"/>
  <c r="CV169" i="8"/>
  <c r="CW170" i="8"/>
  <c r="CV51" i="8"/>
  <c r="CX42" i="8"/>
  <c r="CX127" i="8"/>
  <c r="CK84" i="8"/>
  <c r="CU84" i="8"/>
  <c r="CV84" i="8"/>
  <c r="CW84" i="8"/>
  <c r="CX84" i="8"/>
  <c r="CU94" i="8"/>
  <c r="CV94" i="8"/>
  <c r="CU66" i="8"/>
  <c r="CW66" i="8"/>
  <c r="CV66" i="8"/>
  <c r="CX66" i="8"/>
  <c r="CK131" i="8"/>
  <c r="CU131" i="8"/>
  <c r="CX131" i="8"/>
  <c r="CV131" i="8"/>
  <c r="CU85" i="8"/>
  <c r="CV85" i="8"/>
  <c r="CU81" i="8"/>
  <c r="CW81" i="8"/>
  <c r="CX81" i="8"/>
  <c r="CV81" i="8"/>
  <c r="CU37" i="8"/>
  <c r="CW37" i="8"/>
  <c r="CN124" i="8"/>
  <c r="CU124" i="8"/>
  <c r="CW124" i="8"/>
  <c r="CV124" i="8"/>
  <c r="CK101" i="8"/>
  <c r="CU101" i="8"/>
  <c r="CW101" i="8"/>
  <c r="CV101" i="8"/>
  <c r="CU110" i="8"/>
  <c r="CW110" i="8"/>
  <c r="CX110" i="8"/>
  <c r="CV110" i="8"/>
  <c r="CU161" i="8"/>
  <c r="CV161" i="8"/>
  <c r="CX161" i="8"/>
  <c r="CN69" i="8"/>
  <c r="CN161" i="8"/>
  <c r="CK121" i="8"/>
  <c r="CU121" i="8"/>
  <c r="CW121" i="8"/>
  <c r="CU91" i="8"/>
  <c r="CW91" i="8"/>
  <c r="CV91" i="8"/>
  <c r="CX91" i="8"/>
  <c r="CN137" i="8"/>
  <c r="CU137" i="8"/>
  <c r="CV137" i="8"/>
  <c r="CN133" i="8"/>
  <c r="CU133" i="8"/>
  <c r="CX133" i="8"/>
  <c r="CV133" i="8"/>
  <c r="CU49" i="8"/>
  <c r="CW49" i="8"/>
  <c r="CN135" i="8"/>
  <c r="CN61" i="8"/>
  <c r="CU61" i="8"/>
  <c r="CV61" i="8"/>
  <c r="CW61" i="8"/>
  <c r="CU93" i="8"/>
  <c r="CV93" i="8"/>
  <c r="CX93" i="8"/>
  <c r="CU115" i="8"/>
  <c r="CV115" i="8"/>
  <c r="CX115" i="8"/>
  <c r="CW115" i="8"/>
  <c r="CK102" i="8"/>
  <c r="CU102" i="8"/>
  <c r="CX102" i="8"/>
  <c r="CU90" i="8"/>
  <c r="CX90" i="8"/>
  <c r="CW90" i="8"/>
  <c r="CV90" i="8"/>
  <c r="CN120" i="8"/>
  <c r="CU150" i="8"/>
  <c r="CX150" i="8"/>
  <c r="CW150" i="8"/>
  <c r="CV150" i="8"/>
  <c r="CX46" i="8"/>
  <c r="CK47" i="8"/>
  <c r="CU47" i="8"/>
  <c r="CW47" i="8"/>
  <c r="CX47" i="8"/>
  <c r="CU100" i="8"/>
  <c r="CV100" i="8"/>
  <c r="CW100" i="8"/>
  <c r="CU119" i="8"/>
  <c r="CV119" i="8"/>
  <c r="CW119" i="8"/>
  <c r="CX119" i="8"/>
  <c r="CU97" i="8"/>
  <c r="CX97" i="8"/>
  <c r="CW97" i="8"/>
  <c r="CU77" i="8"/>
  <c r="CV77" i="8"/>
  <c r="CX77" i="8"/>
  <c r="CW77" i="8"/>
  <c r="CU157" i="8"/>
  <c r="CX157" i="8"/>
  <c r="CW157" i="8"/>
  <c r="CW94" i="8"/>
  <c r="CX141" i="8"/>
  <c r="CX101" i="8"/>
  <c r="CW85" i="8"/>
  <c r="CX126" i="8"/>
  <c r="CV121" i="8"/>
  <c r="CV53" i="8"/>
  <c r="CW93" i="8"/>
  <c r="CX85" i="8"/>
  <c r="CV152" i="8"/>
  <c r="CK95" i="8"/>
  <c r="CU95" i="8"/>
  <c r="CV95" i="8"/>
  <c r="CX95" i="8"/>
  <c r="CW95" i="8"/>
  <c r="CK139" i="8"/>
  <c r="CU139" i="8"/>
  <c r="CX139" i="8"/>
  <c r="CW139" i="8"/>
  <c r="CV139" i="8"/>
  <c r="CU163" i="8"/>
  <c r="CV163" i="8"/>
  <c r="CU60" i="8"/>
  <c r="CV60" i="8"/>
  <c r="K8" i="8"/>
  <c r="F21" i="8"/>
  <c r="K5" i="8"/>
  <c r="CX38" i="8"/>
  <c r="CK54" i="8"/>
  <c r="CU54" i="8"/>
  <c r="CX54" i="8"/>
  <c r="CN160" i="8"/>
  <c r="CU160" i="8"/>
  <c r="CW160" i="8"/>
  <c r="CX160" i="8"/>
  <c r="CV160" i="8"/>
  <c r="CN131" i="8"/>
  <c r="CN52" i="8"/>
  <c r="CU52" i="8"/>
  <c r="CW52" i="8"/>
  <c r="CU149" i="8"/>
  <c r="CV149" i="8"/>
  <c r="CW149" i="8"/>
  <c r="CN81" i="8"/>
  <c r="CU165" i="8"/>
  <c r="CW165" i="8"/>
  <c r="CV165" i="8"/>
  <c r="CU164" i="8"/>
  <c r="CW164" i="8"/>
  <c r="CX164" i="8"/>
  <c r="CV164" i="8"/>
  <c r="CN50" i="8"/>
  <c r="CN148" i="8"/>
  <c r="CU154" i="8"/>
  <c r="CX154" i="8"/>
  <c r="CW154" i="8"/>
  <c r="CU129" i="8"/>
  <c r="CX129" i="8"/>
  <c r="CW129" i="8"/>
  <c r="CN109" i="8"/>
  <c r="CU109" i="8"/>
  <c r="CX109" i="8"/>
  <c r="CU44" i="8"/>
  <c r="CV44" i="8"/>
  <c r="CW44" i="8"/>
  <c r="CK64" i="8"/>
  <c r="CU68" i="8"/>
  <c r="CV68" i="8"/>
  <c r="CW68" i="8"/>
  <c r="CU65" i="8"/>
  <c r="CW65" i="8"/>
  <c r="CX65" i="8"/>
  <c r="CV65" i="8"/>
  <c r="CU173" i="8"/>
  <c r="CV173" i="8"/>
  <c r="CW173" i="8"/>
  <c r="CX173" i="8"/>
  <c r="CK134" i="8"/>
  <c r="CU63" i="8"/>
  <c r="CW63" i="8"/>
  <c r="CU111" i="8"/>
  <c r="CW111" i="8"/>
  <c r="CV111" i="8"/>
  <c r="CU67" i="8"/>
  <c r="CW67" i="8"/>
  <c r="CK122" i="8"/>
  <c r="CU122" i="8"/>
  <c r="CW122" i="8"/>
  <c r="CV122" i="8"/>
  <c r="CX122" i="8"/>
  <c r="CW156" i="8"/>
  <c r="CW146" i="8"/>
  <c r="CW131" i="8"/>
  <c r="CW53" i="8"/>
  <c r="CX45" i="8"/>
  <c r="CX49" i="8"/>
  <c r="CX103" i="8"/>
  <c r="CV158" i="8"/>
  <c r="CX163" i="8"/>
  <c r="CV39" i="8"/>
  <c r="CX124" i="8"/>
  <c r="CK168" i="8"/>
  <c r="CU168" i="8"/>
  <c r="CW168" i="8"/>
  <c r="K6" i="8"/>
  <c r="CU123" i="8"/>
  <c r="CV123" i="8"/>
  <c r="CW123" i="8"/>
  <c r="CX123" i="8"/>
  <c r="CK86" i="8"/>
  <c r="CU86" i="8"/>
  <c r="CX86" i="8"/>
  <c r="CW86" i="8"/>
  <c r="CU112" i="8"/>
  <c r="CX112" i="8"/>
  <c r="CV112" i="8"/>
  <c r="CX132" i="8"/>
  <c r="CU118" i="8"/>
  <c r="CW118" i="8"/>
  <c r="CX118" i="8"/>
  <c r="CN48" i="8"/>
  <c r="CU48" i="8"/>
  <c r="CX48" i="8"/>
  <c r="CU117" i="8"/>
  <c r="CV117" i="8"/>
  <c r="CU120" i="8"/>
  <c r="CV120" i="8"/>
  <c r="CU159" i="8"/>
  <c r="CW159" i="8"/>
  <c r="CX159" i="8"/>
  <c r="CU130" i="8"/>
  <c r="CK147" i="8"/>
  <c r="CU147" i="8"/>
  <c r="CW147" i="8"/>
  <c r="CN125" i="8"/>
  <c r="CU125" i="8"/>
  <c r="CV125" i="8"/>
  <c r="CU167" i="8"/>
  <c r="CW167" i="8"/>
  <c r="CV167" i="8"/>
  <c r="CU153" i="8"/>
  <c r="CV153" i="8"/>
  <c r="CW153" i="8"/>
  <c r="CK129" i="8"/>
  <c r="CU43" i="8"/>
  <c r="CW43" i="8"/>
  <c r="CX43" i="8"/>
  <c r="CV43" i="8"/>
  <c r="CK162" i="8"/>
  <c r="CU42" i="8"/>
  <c r="CV42" i="8"/>
  <c r="CX83" i="8"/>
  <c r="CX39" i="8"/>
  <c r="CX100" i="8"/>
  <c r="CV52" i="8"/>
  <c r="CW60" i="8"/>
  <c r="CV168" i="8"/>
  <c r="CV129" i="8"/>
  <c r="CV170" i="8"/>
  <c r="CV102" i="8"/>
  <c r="CW102" i="8"/>
  <c r="CW126" i="8"/>
  <c r="CV118" i="8"/>
  <c r="CW158" i="8"/>
  <c r="CV47" i="8"/>
  <c r="CV56" i="8"/>
  <c r="CX64" i="8"/>
  <c r="CV109" i="8"/>
  <c r="CX94" i="8"/>
  <c r="CW169" i="8"/>
  <c r="CW51" i="8"/>
  <c r="CU136" i="8"/>
  <c r="CV136" i="8"/>
  <c r="CW136" i="8"/>
  <c r="K11" i="8"/>
  <c r="CU40" i="8"/>
  <c r="CX40" i="8"/>
  <c r="CV40" i="8"/>
  <c r="CK82" i="8"/>
  <c r="CK81" i="8"/>
  <c r="CN142" i="8"/>
  <c r="CU142" i="8"/>
  <c r="CW142" i="8"/>
  <c r="CV142" i="8"/>
  <c r="CU79" i="8"/>
  <c r="CX79" i="8"/>
  <c r="CV79" i="8"/>
  <c r="CW79" i="8"/>
  <c r="CK128" i="8"/>
  <c r="CU128" i="8"/>
  <c r="CX128" i="8"/>
  <c r="CW128" i="8"/>
  <c r="CU143" i="8"/>
  <c r="CX143" i="8"/>
  <c r="CK151" i="8"/>
  <c r="CU151" i="8"/>
  <c r="CX151" i="8"/>
  <c r="CV151" i="8"/>
  <c r="CW151" i="8"/>
  <c r="CU46" i="8"/>
  <c r="CW46" i="8"/>
  <c r="CV46" i="8"/>
  <c r="CU70" i="8"/>
  <c r="CX70" i="8"/>
  <c r="CU127" i="8"/>
  <c r="CV127" i="8"/>
  <c r="CN45" i="8"/>
  <c r="CU45" i="8"/>
  <c r="CV45" i="8"/>
  <c r="CN72" i="8"/>
  <c r="CU72" i="8"/>
  <c r="CV72" i="8"/>
  <c r="CB38" i="8"/>
  <c r="CN115" i="8"/>
  <c r="CK169" i="8"/>
  <c r="CK171" i="8"/>
  <c r="CN159" i="8"/>
  <c r="CN110" i="8"/>
  <c r="CU144" i="8"/>
  <c r="CX144" i="8"/>
  <c r="CV144" i="8"/>
  <c r="CW144" i="8"/>
  <c r="CX72" i="8"/>
  <c r="CW112" i="8"/>
  <c r="CV98" i="8"/>
  <c r="CV64" i="8"/>
  <c r="CX169" i="8"/>
  <c r="CX57" i="8"/>
  <c r="CV80" i="8"/>
  <c r="CV134" i="8"/>
  <c r="CV105" i="8"/>
  <c r="CD174" i="8"/>
  <c r="M27" i="8" s="1"/>
  <c r="CB174" i="8"/>
  <c r="CA174" i="8"/>
  <c r="CM38" i="8"/>
  <c r="CN38" i="8"/>
  <c r="CH110" i="8"/>
  <c r="CI110" i="8"/>
  <c r="CH161" i="8"/>
  <c r="CI161" i="8"/>
  <c r="CH152" i="8"/>
  <c r="CI152" i="8"/>
  <c r="CH136" i="8"/>
  <c r="CI136" i="8"/>
  <c r="CK110" i="8"/>
  <c r="CK161" i="8"/>
  <c r="CA46" i="8"/>
  <c r="CN104" i="8"/>
  <c r="CI49" i="8"/>
  <c r="CH49" i="8"/>
  <c r="CH113" i="8"/>
  <c r="CI113" i="8"/>
  <c r="CN156" i="8"/>
  <c r="CH94" i="8"/>
  <c r="CI94" i="8"/>
  <c r="CB117" i="8"/>
  <c r="CH99" i="8"/>
  <c r="CI99" i="8"/>
  <c r="CH120" i="8"/>
  <c r="CI120" i="8"/>
  <c r="CH159" i="8"/>
  <c r="CI159" i="8"/>
  <c r="CN98" i="8"/>
  <c r="CN84" i="8"/>
  <c r="CK142" i="8"/>
  <c r="CH50" i="8"/>
  <c r="CI50" i="8"/>
  <c r="CI85" i="8"/>
  <c r="CH85" i="8"/>
  <c r="CI171" i="8"/>
  <c r="CH171" i="8"/>
  <c r="CH134" i="8"/>
  <c r="CI134" i="8"/>
  <c r="CI100" i="8"/>
  <c r="CH100" i="8"/>
  <c r="CH173" i="8"/>
  <c r="CI173" i="8"/>
  <c r="CN49" i="8"/>
  <c r="CH42" i="8"/>
  <c r="CI42" i="8"/>
  <c r="CN105" i="8"/>
  <c r="CH144" i="8"/>
  <c r="CI144" i="8"/>
  <c r="CM83" i="8"/>
  <c r="CN83" i="8"/>
  <c r="CK167" i="8"/>
  <c r="CH158" i="8"/>
  <c r="CI158" i="8"/>
  <c r="CH40" i="8"/>
  <c r="CI40" i="8"/>
  <c r="CK40" i="8"/>
  <c r="CN128" i="8"/>
  <c r="CH143" i="8"/>
  <c r="CI143" i="8"/>
  <c r="CI137" i="8"/>
  <c r="CH137" i="8"/>
  <c r="CH164" i="8"/>
  <c r="CI164" i="8"/>
  <c r="CK92" i="8"/>
  <c r="CH154" i="8"/>
  <c r="CI154" i="8"/>
  <c r="CN151" i="8"/>
  <c r="CH45" i="8"/>
  <c r="CI45" i="8"/>
  <c r="CK164" i="8"/>
  <c r="CH66" i="8"/>
  <c r="CI66" i="8"/>
  <c r="CH156" i="8"/>
  <c r="CI156" i="8"/>
  <c r="CN121" i="8"/>
  <c r="CI97" i="8"/>
  <c r="CH97" i="8"/>
  <c r="CN143" i="8"/>
  <c r="CI89" i="8"/>
  <c r="CH89" i="8"/>
  <c r="CK89" i="8"/>
  <c r="CI57" i="8"/>
  <c r="CH57" i="8"/>
  <c r="BZ175" i="8"/>
  <c r="CG167" i="8"/>
  <c r="P27" i="8" s="1"/>
  <c r="BZ75" i="8"/>
  <c r="CG74" i="8"/>
  <c r="P23" i="8" s="1"/>
  <c r="CH69" i="8"/>
  <c r="CI69" i="8"/>
  <c r="CI123" i="8"/>
  <c r="CH123" i="8"/>
  <c r="CH86" i="8"/>
  <c r="CI86" i="8"/>
  <c r="CH95" i="8"/>
  <c r="CI95" i="8"/>
  <c r="CI80" i="8"/>
  <c r="CH80" i="8"/>
  <c r="CH151" i="8"/>
  <c r="CI151" i="8"/>
  <c r="CK69" i="8"/>
  <c r="CI46" i="8"/>
  <c r="CH46" i="8"/>
  <c r="CF58" i="8"/>
  <c r="CI118" i="8"/>
  <c r="CH118" i="8"/>
  <c r="CH135" i="8"/>
  <c r="CI135" i="8"/>
  <c r="CK60" i="8"/>
  <c r="CK126" i="8"/>
  <c r="CN95" i="8"/>
  <c r="CI39" i="8"/>
  <c r="CH39" i="8"/>
  <c r="CK154" i="8"/>
  <c r="CN39" i="8"/>
  <c r="CK52" i="8"/>
  <c r="CH102" i="8"/>
  <c r="CI102" i="8"/>
  <c r="CH90" i="8"/>
  <c r="CI90" i="8"/>
  <c r="CI116" i="8"/>
  <c r="CH116" i="8"/>
  <c r="CD114" i="8"/>
  <c r="CD166" i="8" s="1"/>
  <c r="CB114" i="8"/>
  <c r="CA114" i="8"/>
  <c r="CI43" i="8"/>
  <c r="CH43" i="8"/>
  <c r="CN66" i="8"/>
  <c r="CK118" i="8"/>
  <c r="CH132" i="8"/>
  <c r="CI132" i="8"/>
  <c r="CI145" i="8"/>
  <c r="CH145" i="8"/>
  <c r="CI54" i="8"/>
  <c r="CH54" i="8"/>
  <c r="CH160" i="8"/>
  <c r="CI160" i="8"/>
  <c r="CI141" i="8"/>
  <c r="CH141" i="8"/>
  <c r="CN154" i="8"/>
  <c r="CK124" i="8"/>
  <c r="CH91" i="8"/>
  <c r="CI91" i="8"/>
  <c r="CN123" i="8"/>
  <c r="CD87" i="8"/>
  <c r="CB87" i="8"/>
  <c r="CA87" i="8"/>
  <c r="CI170" i="8"/>
  <c r="CH170" i="8"/>
  <c r="CB96" i="8"/>
  <c r="CD96" i="8"/>
  <c r="CA96" i="8"/>
  <c r="CN164" i="8"/>
  <c r="CI172" i="8"/>
  <c r="CH172" i="8"/>
  <c r="CI127" i="8"/>
  <c r="CH127" i="8"/>
  <c r="CN168" i="8"/>
  <c r="CI62" i="8"/>
  <c r="CH62" i="8"/>
  <c r="CH129" i="8"/>
  <c r="CI129" i="8"/>
  <c r="CH109" i="8"/>
  <c r="CI109" i="8"/>
  <c r="CH44" i="8"/>
  <c r="CI44" i="8"/>
  <c r="CH153" i="8"/>
  <c r="CI153" i="8"/>
  <c r="CH150" i="8"/>
  <c r="CI150" i="8"/>
  <c r="CM46" i="8"/>
  <c r="CN46" i="8"/>
  <c r="CK143" i="8"/>
  <c r="CI119" i="8"/>
  <c r="CH119" i="8"/>
  <c r="CA132" i="8"/>
  <c r="CI77" i="8"/>
  <c r="CH77" i="8"/>
  <c r="CI67" i="8"/>
  <c r="CH67" i="8"/>
  <c r="CK127" i="8"/>
  <c r="CN102" i="8"/>
  <c r="CH78" i="8"/>
  <c r="CI78" i="8"/>
  <c r="CB107" i="8"/>
  <c r="CB108" i="8" s="1"/>
  <c r="CA107" i="8"/>
  <c r="CA108" i="8" s="1"/>
  <c r="CD107" i="8"/>
  <c r="M25" i="8" s="1"/>
  <c r="CB59" i="8"/>
  <c r="CD59" i="8"/>
  <c r="CA59" i="8"/>
  <c r="CN60" i="8"/>
  <c r="CM60" i="8"/>
  <c r="CH82" i="8"/>
  <c r="CI82" i="8"/>
  <c r="CN116" i="8"/>
  <c r="CH146" i="8"/>
  <c r="CI146" i="8"/>
  <c r="CK90" i="8"/>
  <c r="CH79" i="8"/>
  <c r="CI79" i="8"/>
  <c r="CI112" i="8"/>
  <c r="CH112" i="8"/>
  <c r="CH148" i="8"/>
  <c r="CI148" i="8"/>
  <c r="CK135" i="8"/>
  <c r="CH149" i="8"/>
  <c r="CI149" i="8"/>
  <c r="CK91" i="8"/>
  <c r="CK148" i="8"/>
  <c r="CH56" i="8"/>
  <c r="CI56" i="8"/>
  <c r="CH64" i="8"/>
  <c r="CI64" i="8"/>
  <c r="CK150" i="8"/>
  <c r="CN56" i="8"/>
  <c r="CN118" i="8"/>
  <c r="CK152" i="8"/>
  <c r="CI93" i="8"/>
  <c r="CH93" i="8"/>
  <c r="CK116" i="8"/>
  <c r="CI115" i="8"/>
  <c r="CH115" i="8"/>
  <c r="CA38" i="8"/>
  <c r="CH68" i="8"/>
  <c r="CI68" i="8"/>
  <c r="CK67" i="8"/>
  <c r="CB132" i="8"/>
  <c r="CN153" i="8"/>
  <c r="CI63" i="8"/>
  <c r="CH63" i="8"/>
  <c r="CN134" i="8"/>
  <c r="CN119" i="8"/>
  <c r="CB74" i="8"/>
  <c r="CB75" i="8" s="1"/>
  <c r="CD74" i="8"/>
  <c r="CA74" i="8"/>
  <c r="CA75" i="8" s="1"/>
  <c r="BZ108" i="8"/>
  <c r="CG107" i="8"/>
  <c r="P25" i="8" s="1"/>
  <c r="CH124" i="8"/>
  <c r="CI124" i="8"/>
  <c r="CI92" i="8"/>
  <c r="CH92" i="8"/>
  <c r="CI105" i="8"/>
  <c r="CH105" i="8"/>
  <c r="CH128" i="8"/>
  <c r="CI128" i="8"/>
  <c r="CH52" i="8"/>
  <c r="CI52" i="8"/>
  <c r="CH121" i="8"/>
  <c r="CI121" i="8"/>
  <c r="CI88" i="8"/>
  <c r="CH88" i="8"/>
  <c r="CI41" i="8"/>
  <c r="CH41" i="8"/>
  <c r="CB37" i="8"/>
  <c r="CH61" i="8"/>
  <c r="CI61" i="8"/>
  <c r="CH163" i="8"/>
  <c r="CI163" i="8"/>
  <c r="CK46" i="8"/>
  <c r="CH53" i="8"/>
  <c r="CI53" i="8"/>
  <c r="CH60" i="8"/>
  <c r="CI60" i="8"/>
  <c r="CH130" i="8"/>
  <c r="CI130" i="8"/>
  <c r="CH125" i="8"/>
  <c r="CI125" i="8"/>
  <c r="CI81" i="8"/>
  <c r="CH81" i="8"/>
  <c r="CK141" i="8"/>
  <c r="CI104" i="8"/>
  <c r="CH104" i="8"/>
  <c r="CL76" i="8"/>
  <c r="CN129" i="8"/>
  <c r="CN43" i="8"/>
  <c r="CH157" i="8"/>
  <c r="CI157" i="8"/>
  <c r="CI122" i="8"/>
  <c r="CH122" i="8"/>
  <c r="CI84" i="8"/>
  <c r="CH84" i="8"/>
  <c r="CI126" i="8"/>
  <c r="CH126" i="8"/>
  <c r="CH138" i="8"/>
  <c r="CI138" i="8"/>
  <c r="CN138" i="8"/>
  <c r="CN132" i="8"/>
  <c r="CM132" i="8"/>
  <c r="CN88" i="8"/>
  <c r="CI70" i="8"/>
  <c r="CH70" i="8"/>
  <c r="CH48" i="8"/>
  <c r="CI48" i="8"/>
  <c r="CH139" i="8"/>
  <c r="CI139" i="8"/>
  <c r="CN139" i="8"/>
  <c r="CA60" i="8"/>
  <c r="CH98" i="8"/>
  <c r="CI98" i="8"/>
  <c r="CH147" i="8"/>
  <c r="CI147" i="8"/>
  <c r="CB140" i="8"/>
  <c r="CA140" i="8"/>
  <c r="CD140" i="8"/>
  <c r="CH83" i="8"/>
  <c r="CI83" i="8"/>
  <c r="CA167" i="8"/>
  <c r="CH38" i="8"/>
  <c r="CI38" i="8"/>
  <c r="CN130" i="8"/>
  <c r="CK70" i="8"/>
  <c r="CH155" i="8"/>
  <c r="CI155" i="8"/>
  <c r="CK137" i="8"/>
  <c r="CN54" i="8"/>
  <c r="CK145" i="8"/>
  <c r="CD58" i="8"/>
  <c r="CU58" i="8" s="1"/>
  <c r="CB76" i="8"/>
  <c r="CD76" i="8"/>
  <c r="CD106" i="8" s="1"/>
  <c r="CA76" i="8"/>
  <c r="CI101" i="8"/>
  <c r="CH101" i="8"/>
  <c r="CN40" i="8"/>
  <c r="CK88" i="8"/>
  <c r="CH142" i="8"/>
  <c r="CI142" i="8"/>
  <c r="CH168" i="8"/>
  <c r="CI168" i="8"/>
  <c r="CK48" i="8"/>
  <c r="CI165" i="8"/>
  <c r="CH165" i="8"/>
  <c r="CI133" i="8"/>
  <c r="CH133" i="8"/>
  <c r="CB71" i="8"/>
  <c r="CA71" i="8"/>
  <c r="CD71" i="8"/>
  <c r="CA117" i="8"/>
  <c r="CB60" i="8"/>
  <c r="CH72" i="8"/>
  <c r="CI72" i="8"/>
  <c r="CH131" i="8"/>
  <c r="CI131" i="8"/>
  <c r="CB167" i="8"/>
  <c r="CN141" i="8"/>
  <c r="CN101" i="8"/>
  <c r="CK170" i="8"/>
  <c r="CH162" i="8"/>
  <c r="CI162" i="8"/>
  <c r="CK146" i="8"/>
  <c r="CH65" i="8"/>
  <c r="CI65" i="8"/>
  <c r="CI47" i="8"/>
  <c r="CH47" i="8"/>
  <c r="CH169" i="8"/>
  <c r="CI169" i="8"/>
  <c r="CK138" i="8"/>
  <c r="CK41" i="8"/>
  <c r="CI55" i="8"/>
  <c r="CH55" i="8"/>
  <c r="CH103" i="8"/>
  <c r="CI103" i="8"/>
  <c r="CI111" i="8"/>
  <c r="CH111" i="8"/>
  <c r="CK172" i="8"/>
  <c r="CI51" i="8"/>
  <c r="CH51" i="8"/>
  <c r="CK123" i="8"/>
  <c r="CK160" i="8"/>
  <c r="AK58" i="8"/>
  <c r="I12" i="8"/>
  <c r="H12" i="8"/>
  <c r="BY75" i="8"/>
  <c r="J5" i="8"/>
  <c r="T7" i="8"/>
  <c r="BW75" i="8"/>
  <c r="BZ58" i="8"/>
  <c r="F12" i="8"/>
  <c r="J11" i="8"/>
  <c r="BX108" i="8"/>
  <c r="T5" i="8"/>
  <c r="AL73" i="8"/>
  <c r="AK73" i="8"/>
  <c r="F24" i="8"/>
  <c r="J8" i="8"/>
  <c r="H24" i="8"/>
  <c r="V24" i="8" s="1"/>
  <c r="G23" i="8"/>
  <c r="J7" i="8"/>
  <c r="BY73" i="8"/>
  <c r="T10" i="8"/>
  <c r="BX73" i="8"/>
  <c r="BW73" i="8"/>
  <c r="J6" i="8"/>
  <c r="F22" i="8"/>
  <c r="BX75" i="8"/>
  <c r="H22" i="8"/>
  <c r="F25" i="8"/>
  <c r="J9" i="8"/>
  <c r="H25" i="8"/>
  <c r="H26" i="8"/>
  <c r="V5" i="8"/>
  <c r="F26" i="8"/>
  <c r="J10" i="8"/>
  <c r="BZ73" i="8"/>
  <c r="BW108" i="8"/>
  <c r="G21" i="8"/>
  <c r="G12" i="8"/>
  <c r="BW175" i="8"/>
  <c r="BY108" i="8"/>
  <c r="BX58" i="8"/>
  <c r="CE37" i="8"/>
  <c r="N21" i="8" s="1"/>
  <c r="CB106" i="8" l="1"/>
  <c r="CB166" i="8"/>
  <c r="CM109" i="8"/>
  <c r="CG166" i="8"/>
  <c r="CF166" i="8"/>
  <c r="CL109" i="8"/>
  <c r="N24" i="8"/>
  <c r="N28" i="8" s="1"/>
  <c r="AB27" i="8" s="1"/>
  <c r="CE106" i="8"/>
  <c r="CA106" i="8"/>
  <c r="M26" i="8"/>
  <c r="T26" i="8" s="1"/>
  <c r="CA166" i="8"/>
  <c r="M12" i="8"/>
  <c r="AA10" i="8" s="1"/>
  <c r="K56" i="3"/>
  <c r="M56" i="3" s="1"/>
  <c r="M67" i="3" s="1"/>
  <c r="Q11" i="8"/>
  <c r="R11" i="8"/>
  <c r="BT74" i="8"/>
  <c r="BS75" i="8"/>
  <c r="BU74" i="8"/>
  <c r="BT76" i="8"/>
  <c r="BU76" i="8"/>
  <c r="BU167" i="8"/>
  <c r="BT167" i="8"/>
  <c r="BS175" i="8"/>
  <c r="BU117" i="8"/>
  <c r="BT117" i="8"/>
  <c r="BS58" i="8"/>
  <c r="BU37" i="8"/>
  <c r="BT37" i="8"/>
  <c r="BU107" i="8"/>
  <c r="BT107" i="8"/>
  <c r="BS73" i="8"/>
  <c r="BU59" i="8"/>
  <c r="BT59" i="8"/>
  <c r="CE75" i="8"/>
  <c r="CX117" i="8"/>
  <c r="CF108" i="8"/>
  <c r="CL107" i="8"/>
  <c r="R9" i="8"/>
  <c r="CG73" i="8"/>
  <c r="CM117" i="8"/>
  <c r="CG58" i="8"/>
  <c r="CX58" i="8" s="1"/>
  <c r="CI117" i="8"/>
  <c r="R7" i="8"/>
  <c r="CL175" i="8"/>
  <c r="CL166" i="8"/>
  <c r="CM59" i="8"/>
  <c r="CF75" i="8"/>
  <c r="CL74" i="8"/>
  <c r="CF73" i="8"/>
  <c r="CW117" i="8"/>
  <c r="CL117" i="8"/>
  <c r="Q9" i="8"/>
  <c r="O12" i="8"/>
  <c r="AC8" i="8" s="1"/>
  <c r="O28" i="8"/>
  <c r="AC24" i="8" s="1"/>
  <c r="D11" i="8"/>
  <c r="CE108" i="8"/>
  <c r="CE73" i="8"/>
  <c r="CL59" i="8"/>
  <c r="W24" i="8"/>
  <c r="U6" i="8"/>
  <c r="V26" i="8"/>
  <c r="P46" i="10" s="1"/>
  <c r="AD46" i="10" s="1"/>
  <c r="U23" i="8"/>
  <c r="O43" i="10" s="1"/>
  <c r="AC43" i="10" s="1"/>
  <c r="U8" i="8"/>
  <c r="V22" i="8"/>
  <c r="P42" i="10" s="1"/>
  <c r="AD42" i="10" s="1"/>
  <c r="W8" i="8"/>
  <c r="Y11" i="8"/>
  <c r="X11" i="8"/>
  <c r="U22" i="8"/>
  <c r="O42" i="10" s="1"/>
  <c r="AC42" i="10" s="1"/>
  <c r="N12" i="8"/>
  <c r="AB6" i="8" s="1"/>
  <c r="W25" i="8"/>
  <c r="CA175" i="8"/>
  <c r="W23" i="8"/>
  <c r="T27" i="8"/>
  <c r="W10" i="8"/>
  <c r="Q7" i="8"/>
  <c r="W26" i="8"/>
  <c r="V7" i="8"/>
  <c r="W27" i="8"/>
  <c r="W6" i="8"/>
  <c r="W5" i="8"/>
  <c r="V23" i="8"/>
  <c r="P43" i="10" s="1"/>
  <c r="AD43" i="10" s="1"/>
  <c r="W22" i="8"/>
  <c r="W21" i="8"/>
  <c r="U9" i="8"/>
  <c r="T25" i="8"/>
  <c r="N45" i="10" s="1"/>
  <c r="V9" i="8"/>
  <c r="U25" i="8"/>
  <c r="O45" i="10" s="1"/>
  <c r="AC45" i="10" s="1"/>
  <c r="G28" i="8"/>
  <c r="V25" i="8"/>
  <c r="P45" i="10" s="1"/>
  <c r="AD45" i="10" s="1"/>
  <c r="V10" i="8"/>
  <c r="U7" i="8"/>
  <c r="V6" i="8"/>
  <c r="CW74" i="8"/>
  <c r="M23" i="8"/>
  <c r="CK59" i="8"/>
  <c r="M22" i="8"/>
  <c r="CV76" i="8"/>
  <c r="M24" i="8"/>
  <c r="F28" i="8"/>
  <c r="Q25" i="8"/>
  <c r="CK107" i="8"/>
  <c r="H28" i="8"/>
  <c r="P28" i="8"/>
  <c r="W28" i="8" s="1"/>
  <c r="CH117" i="8"/>
  <c r="CM37" i="8"/>
  <c r="R6" i="8"/>
  <c r="Q6" i="8"/>
  <c r="CN37" i="8"/>
  <c r="CB58" i="8"/>
  <c r="CN117" i="8"/>
  <c r="CX37" i="8"/>
  <c r="R25" i="8"/>
  <c r="R21" i="8"/>
  <c r="CA58" i="8"/>
  <c r="R8" i="8"/>
  <c r="Q8" i="8"/>
  <c r="Q21" i="8"/>
  <c r="Q10" i="8"/>
  <c r="R10" i="8"/>
  <c r="P12" i="8"/>
  <c r="AD8" i="8" s="1"/>
  <c r="R5" i="8"/>
  <c r="Q5" i="8"/>
  <c r="R27" i="8"/>
  <c r="Q27" i="8"/>
  <c r="CD175" i="8"/>
  <c r="CW175" i="8" s="1"/>
  <c r="K26" i="8"/>
  <c r="J26" i="8"/>
  <c r="K25" i="8"/>
  <c r="J25" i="8"/>
  <c r="J23" i="8"/>
  <c r="K23" i="8"/>
  <c r="J24" i="8"/>
  <c r="K24" i="8"/>
  <c r="J21" i="8"/>
  <c r="K21" i="8"/>
  <c r="K22" i="8"/>
  <c r="J22" i="8"/>
  <c r="CX107" i="8"/>
  <c r="CU107" i="8"/>
  <c r="CV74" i="8"/>
  <c r="CU114" i="8"/>
  <c r="CW114" i="8"/>
  <c r="CV114" i="8"/>
  <c r="CX114" i="8"/>
  <c r="CV107" i="8"/>
  <c r="CU59" i="8"/>
  <c r="CI37" i="8"/>
  <c r="CI58" i="8" s="1"/>
  <c r="CV37" i="8"/>
  <c r="CU71" i="8"/>
  <c r="CX71" i="8"/>
  <c r="CW71" i="8"/>
  <c r="CV71" i="8"/>
  <c r="CU74" i="8"/>
  <c r="CU87" i="8"/>
  <c r="CX87" i="8"/>
  <c r="CV87" i="8"/>
  <c r="CW87" i="8"/>
  <c r="CU174" i="8"/>
  <c r="CX174" i="8"/>
  <c r="CV174" i="8"/>
  <c r="CW174" i="8"/>
  <c r="CX59" i="8"/>
  <c r="CW59" i="8"/>
  <c r="CU140" i="8"/>
  <c r="CX140" i="8"/>
  <c r="CV140" i="8"/>
  <c r="CW140" i="8"/>
  <c r="CW58" i="8"/>
  <c r="CX74" i="8"/>
  <c r="CV59" i="8"/>
  <c r="CX167" i="8"/>
  <c r="CK76" i="8"/>
  <c r="CU76" i="8"/>
  <c r="CX76" i="8"/>
  <c r="CW76" i="8"/>
  <c r="CN59" i="8"/>
  <c r="CU96" i="8"/>
  <c r="CV96" i="8"/>
  <c r="CX96" i="8"/>
  <c r="CW96" i="8"/>
  <c r="CW107" i="8"/>
  <c r="CB73" i="8"/>
  <c r="CD75" i="8"/>
  <c r="CU75" i="8" s="1"/>
  <c r="CH74" i="8"/>
  <c r="CH75" i="8" s="1"/>
  <c r="CI74" i="8"/>
  <c r="CI75" i="8" s="1"/>
  <c r="CD108" i="8"/>
  <c r="CH107" i="8"/>
  <c r="CH108" i="8" s="1"/>
  <c r="CI107" i="8"/>
  <c r="CI108" i="8" s="1"/>
  <c r="CN167" i="8"/>
  <c r="CM167" i="8"/>
  <c r="CG175" i="8"/>
  <c r="CI167" i="8"/>
  <c r="CH37" i="8"/>
  <c r="CH58" i="8" s="1"/>
  <c r="CH140" i="8"/>
  <c r="CI140" i="8"/>
  <c r="CK140" i="8"/>
  <c r="CN140" i="8"/>
  <c r="CI71" i="8"/>
  <c r="CH71" i="8"/>
  <c r="CN71" i="8"/>
  <c r="CK71" i="8"/>
  <c r="CK74" i="8"/>
  <c r="CH114" i="8"/>
  <c r="CH166" i="8" s="1"/>
  <c r="CI114" i="8"/>
  <c r="CI166" i="8" s="1"/>
  <c r="CK114" i="8"/>
  <c r="CN114" i="8"/>
  <c r="CH167" i="8"/>
  <c r="CK37" i="8"/>
  <c r="CE58" i="8"/>
  <c r="CL37" i="8"/>
  <c r="CB175" i="8"/>
  <c r="CH87" i="8"/>
  <c r="CI87" i="8"/>
  <c r="CN87" i="8"/>
  <c r="CK87" i="8"/>
  <c r="CN107" i="8"/>
  <c r="CM107" i="8"/>
  <c r="CG108" i="8"/>
  <c r="CA73" i="8"/>
  <c r="CM74" i="8"/>
  <c r="CG75" i="8"/>
  <c r="CN74" i="8"/>
  <c r="CI76" i="8"/>
  <c r="CI106" i="8" s="1"/>
  <c r="CH76" i="8"/>
  <c r="CN76" i="8"/>
  <c r="CD73" i="8"/>
  <c r="CH59" i="8"/>
  <c r="CI59" i="8"/>
  <c r="CI96" i="8"/>
  <c r="CH96" i="8"/>
  <c r="CN96" i="8"/>
  <c r="CK96" i="8"/>
  <c r="CI174" i="8"/>
  <c r="CH174" i="8"/>
  <c r="CK174" i="8"/>
  <c r="CN174" i="8"/>
  <c r="J12" i="8"/>
  <c r="K12" i="8"/>
  <c r="T9" i="8"/>
  <c r="T6" i="8"/>
  <c r="U5" i="8"/>
  <c r="Q26" i="8" l="1"/>
  <c r="U24" i="8"/>
  <c r="R26" i="8"/>
  <c r="CH106" i="8"/>
  <c r="AA8" i="8"/>
  <c r="AA11" i="8"/>
  <c r="N46" i="10"/>
  <c r="AB46" i="10" s="1"/>
  <c r="N10" i="10"/>
  <c r="AA9" i="8"/>
  <c r="AA7" i="8"/>
  <c r="AA6" i="8"/>
  <c r="N56" i="3"/>
  <c r="N67" i="3" s="1"/>
  <c r="O56" i="3"/>
  <c r="O67" i="3" s="1"/>
  <c r="P56" i="3"/>
  <c r="P67" i="3" s="1"/>
  <c r="Q23" i="10"/>
  <c r="AE23" i="10" s="1"/>
  <c r="Q29" i="10"/>
  <c r="AE29" i="10" s="1"/>
  <c r="Q5" i="10"/>
  <c r="Q35" i="10"/>
  <c r="AE35" i="10" s="1"/>
  <c r="Q11" i="10"/>
  <c r="AE11" i="10" s="1"/>
  <c r="Q41" i="10"/>
  <c r="AE41" i="10" s="1"/>
  <c r="Q17" i="10"/>
  <c r="AE17" i="10" s="1"/>
  <c r="Q34" i="10"/>
  <c r="AE34" i="10" s="1"/>
  <c r="Q16" i="10"/>
  <c r="AE16" i="10" s="1"/>
  <c r="Q22" i="10"/>
  <c r="AE22" i="10" s="1"/>
  <c r="Q40" i="10"/>
  <c r="AE40" i="10" s="1"/>
  <c r="Q28" i="10"/>
  <c r="AE28" i="10" s="1"/>
  <c r="Q10" i="10"/>
  <c r="Q46" i="10"/>
  <c r="AE46" i="10" s="1"/>
  <c r="Q6" i="10"/>
  <c r="Q12" i="10"/>
  <c r="AE12" i="10" s="1"/>
  <c r="Q36" i="10"/>
  <c r="AE36" i="10" s="1"/>
  <c r="Q18" i="10"/>
  <c r="AE18" i="10" s="1"/>
  <c r="Q24" i="10"/>
  <c r="AE24" i="10" s="1"/>
  <c r="Q42" i="10"/>
  <c r="AE42" i="10" s="1"/>
  <c r="Q30" i="10"/>
  <c r="AE30" i="10" s="1"/>
  <c r="Q9" i="10"/>
  <c r="Q27" i="10"/>
  <c r="AE27" i="10" s="1"/>
  <c r="Q21" i="10"/>
  <c r="AE21" i="10" s="1"/>
  <c r="Q33" i="10"/>
  <c r="AE33" i="10" s="1"/>
  <c r="Q15" i="10"/>
  <c r="AE15" i="10" s="1"/>
  <c r="Q45" i="10"/>
  <c r="AE45" i="10" s="1"/>
  <c r="Q39" i="10"/>
  <c r="AE39" i="10" s="1"/>
  <c r="Q13" i="10"/>
  <c r="AE13" i="10" s="1"/>
  <c r="Q25" i="10"/>
  <c r="AE25" i="10" s="1"/>
  <c r="Q31" i="10"/>
  <c r="AE31" i="10" s="1"/>
  <c r="Q19" i="10"/>
  <c r="AE19" i="10" s="1"/>
  <c r="Q43" i="10"/>
  <c r="AE43" i="10" s="1"/>
  <c r="Q37" i="10"/>
  <c r="AE37" i="10" s="1"/>
  <c r="Q7" i="10"/>
  <c r="AB45" i="10"/>
  <c r="BU166" i="8"/>
  <c r="BT166" i="8"/>
  <c r="BU108" i="8"/>
  <c r="BT108" i="8"/>
  <c r="BU175" i="8"/>
  <c r="BT175" i="8"/>
  <c r="BU58" i="8"/>
  <c r="BT58" i="8"/>
  <c r="BU75" i="8"/>
  <c r="BT75" i="8"/>
  <c r="BU73" i="8"/>
  <c r="BT73" i="8"/>
  <c r="CX175" i="8"/>
  <c r="CX73" i="8"/>
  <c r="CM166" i="8"/>
  <c r="CL108" i="8"/>
  <c r="AB26" i="8"/>
  <c r="AB24" i="8"/>
  <c r="Y5" i="8"/>
  <c r="CM73" i="8"/>
  <c r="Y10" i="8"/>
  <c r="CM58" i="8"/>
  <c r="CN58" i="8"/>
  <c r="CL75" i="8"/>
  <c r="AB9" i="8"/>
  <c r="CL73" i="8"/>
  <c r="AC7" i="8"/>
  <c r="AC22" i="8"/>
  <c r="AC27" i="8"/>
  <c r="AC9" i="8"/>
  <c r="AC10" i="8"/>
  <c r="AC23" i="8"/>
  <c r="CX166" i="8"/>
  <c r="D9" i="8"/>
  <c r="AC26" i="8"/>
  <c r="AC25" i="8"/>
  <c r="D27" i="8"/>
  <c r="D6" i="8"/>
  <c r="D25" i="8"/>
  <c r="AC6" i="8"/>
  <c r="AC11" i="8"/>
  <c r="D10" i="8"/>
  <c r="AB7" i="8"/>
  <c r="X10" i="8"/>
  <c r="AB22" i="8"/>
  <c r="AB23" i="8"/>
  <c r="Y7" i="8"/>
  <c r="AB25" i="8"/>
  <c r="D26" i="8"/>
  <c r="D7" i="8"/>
  <c r="D5" i="8"/>
  <c r="CV108" i="8"/>
  <c r="CV175" i="8"/>
  <c r="AD10" i="8"/>
  <c r="AD25" i="8"/>
  <c r="Y9" i="8"/>
  <c r="X9" i="8"/>
  <c r="R12" i="8"/>
  <c r="AD5" i="8"/>
  <c r="AD24" i="8"/>
  <c r="Q24" i="8"/>
  <c r="T24" i="8"/>
  <c r="X26" i="8"/>
  <c r="Y26" i="8"/>
  <c r="AD6" i="8"/>
  <c r="Y27" i="8"/>
  <c r="X27" i="8"/>
  <c r="W12" i="8"/>
  <c r="AD9" i="8"/>
  <c r="AD7" i="8"/>
  <c r="AD11" i="8"/>
  <c r="X5" i="8"/>
  <c r="R22" i="8"/>
  <c r="T22" i="8"/>
  <c r="AD27" i="8"/>
  <c r="AD21" i="8"/>
  <c r="AD26" i="8"/>
  <c r="AD23" i="8"/>
  <c r="AB11" i="8"/>
  <c r="AB10" i="8"/>
  <c r="Y6" i="8"/>
  <c r="X6" i="8"/>
  <c r="X7" i="8"/>
  <c r="Q23" i="8"/>
  <c r="T23" i="8"/>
  <c r="Y25" i="8"/>
  <c r="X25" i="8"/>
  <c r="AD22" i="8"/>
  <c r="AB8" i="8"/>
  <c r="Q22" i="8"/>
  <c r="R23" i="8"/>
  <c r="R24" i="8"/>
  <c r="CX75" i="8"/>
  <c r="CK75" i="8"/>
  <c r="M28" i="8"/>
  <c r="AA24" i="8" s="1"/>
  <c r="CH73" i="8"/>
  <c r="Q12" i="8"/>
  <c r="K28" i="8"/>
  <c r="J28" i="8"/>
  <c r="CU175" i="8"/>
  <c r="CK175" i="8"/>
  <c r="CW166" i="8"/>
  <c r="CW75" i="8"/>
  <c r="CK58" i="8"/>
  <c r="CV58" i="8"/>
  <c r="CN73" i="8"/>
  <c r="CU73" i="8"/>
  <c r="CI175" i="8"/>
  <c r="CV75" i="8"/>
  <c r="CV73" i="8"/>
  <c r="CU166" i="8"/>
  <c r="CV166" i="8"/>
  <c r="CW108" i="8"/>
  <c r="CX108" i="8"/>
  <c r="CK166" i="8"/>
  <c r="CI73" i="8"/>
  <c r="CN166" i="8"/>
  <c r="CW73" i="8"/>
  <c r="CU108" i="8"/>
  <c r="CL58" i="8"/>
  <c r="CN175" i="8"/>
  <c r="CM175" i="8"/>
  <c r="CH175" i="8"/>
  <c r="CK73" i="8"/>
  <c r="CN108" i="8"/>
  <c r="CM108" i="8"/>
  <c r="CK108" i="8"/>
  <c r="CN75" i="8"/>
  <c r="CM75" i="8"/>
  <c r="AB5" i="8"/>
  <c r="V12" i="8"/>
  <c r="AC5" i="8"/>
  <c r="V21" i="8"/>
  <c r="P41" i="10" s="1"/>
  <c r="AD41" i="10" s="1"/>
  <c r="U12" i="8"/>
  <c r="T12" i="8"/>
  <c r="AA5" i="8"/>
  <c r="T8" i="8"/>
  <c r="D8" i="8" s="1"/>
  <c r="U21" i="8"/>
  <c r="O41" i="10" s="1"/>
  <c r="AC41" i="10" s="1"/>
  <c r="T21" i="8"/>
  <c r="N41" i="10" s="1"/>
  <c r="AE8" i="8" l="1"/>
  <c r="R45" i="10"/>
  <c r="S45" i="10"/>
  <c r="R46" i="10"/>
  <c r="S46" i="10"/>
  <c r="AG46" i="10"/>
  <c r="AF46" i="10"/>
  <c r="Q63" i="10"/>
  <c r="I64" i="3" s="1"/>
  <c r="F6" i="1" s="1"/>
  <c r="AE6" i="10"/>
  <c r="N5" i="10"/>
  <c r="Q66" i="10"/>
  <c r="I67" i="3" s="1"/>
  <c r="F9" i="1" s="1"/>
  <c r="AE9" i="10"/>
  <c r="D22" i="8"/>
  <c r="N42" i="10"/>
  <c r="AF45" i="10"/>
  <c r="AG45" i="10"/>
  <c r="Q64" i="10"/>
  <c r="I65" i="3" s="1"/>
  <c r="F7" i="1" s="1"/>
  <c r="AE7" i="10"/>
  <c r="Q67" i="10"/>
  <c r="I68" i="3" s="1"/>
  <c r="F10" i="1" s="1"/>
  <c r="AE10" i="10"/>
  <c r="D24" i="8"/>
  <c r="Q62" i="10"/>
  <c r="AE5" i="10"/>
  <c r="N19" i="10"/>
  <c r="AB19" i="10" s="1"/>
  <c r="N43" i="10"/>
  <c r="N13" i="10"/>
  <c r="AF9" i="8"/>
  <c r="AC12" i="8"/>
  <c r="AE6" i="8"/>
  <c r="R28" i="8"/>
  <c r="D12" i="8"/>
  <c r="AF6" i="8"/>
  <c r="AF7" i="8"/>
  <c r="D21" i="8"/>
  <c r="AA22" i="8"/>
  <c r="AE22" i="8" s="1"/>
  <c r="N25" i="10"/>
  <c r="D23" i="8"/>
  <c r="Q28" i="8"/>
  <c r="AE24" i="8"/>
  <c r="AF24" i="8"/>
  <c r="Y21" i="8"/>
  <c r="X21" i="8"/>
  <c r="AF8" i="8"/>
  <c r="AE7" i="8"/>
  <c r="AE10" i="8"/>
  <c r="AF10" i="8"/>
  <c r="N7" i="10"/>
  <c r="AD28" i="8"/>
  <c r="AE5" i="8"/>
  <c r="AF5" i="8"/>
  <c r="AA12" i="8"/>
  <c r="AB12" i="8"/>
  <c r="N31" i="10"/>
  <c r="X12" i="8"/>
  <c r="Y12" i="8"/>
  <c r="Y8" i="8"/>
  <c r="X8" i="8"/>
  <c r="AA27" i="8"/>
  <c r="AA26" i="8"/>
  <c r="AA25" i="8"/>
  <c r="X22" i="8"/>
  <c r="Y22" i="8"/>
  <c r="Y24" i="8"/>
  <c r="X24" i="8"/>
  <c r="AA23" i="8"/>
  <c r="AE11" i="8"/>
  <c r="AF11" i="8"/>
  <c r="AD12" i="8"/>
  <c r="Y23" i="8"/>
  <c r="X23" i="8"/>
  <c r="N37" i="10"/>
  <c r="AE9" i="8"/>
  <c r="O12" i="10"/>
  <c r="AC12" i="10" s="1"/>
  <c r="O30" i="10"/>
  <c r="AC30" i="10" s="1"/>
  <c r="O6" i="10"/>
  <c r="O18" i="10"/>
  <c r="AC18" i="10" s="1"/>
  <c r="O36" i="10"/>
  <c r="AC36" i="10" s="1"/>
  <c r="O24" i="10"/>
  <c r="AC24" i="10" s="1"/>
  <c r="P23" i="10"/>
  <c r="P11" i="10"/>
  <c r="P29" i="10"/>
  <c r="P5" i="10"/>
  <c r="P17" i="10"/>
  <c r="P35" i="10"/>
  <c r="P25" i="10"/>
  <c r="P13" i="10"/>
  <c r="P37" i="10"/>
  <c r="P31" i="10"/>
  <c r="P7" i="10"/>
  <c r="P19" i="10"/>
  <c r="O9" i="10"/>
  <c r="O27" i="10"/>
  <c r="O15" i="10"/>
  <c r="O33" i="10"/>
  <c r="O39" i="10"/>
  <c r="O21" i="10"/>
  <c r="O11" i="10"/>
  <c r="O29" i="10"/>
  <c r="O23" i="10"/>
  <c r="O5" i="10"/>
  <c r="O17" i="10"/>
  <c r="O35" i="10"/>
  <c r="O28" i="10"/>
  <c r="AC28" i="10" s="1"/>
  <c r="O10" i="10"/>
  <c r="O16" i="10"/>
  <c r="AC16" i="10" s="1"/>
  <c r="O34" i="10"/>
  <c r="AC34" i="10" s="1"/>
  <c r="O22" i="10"/>
  <c r="AC22" i="10" s="1"/>
  <c r="O40" i="10"/>
  <c r="AC40" i="10" s="1"/>
  <c r="N11" i="10"/>
  <c r="AB11" i="10" s="1"/>
  <c r="N17" i="10"/>
  <c r="N23" i="10"/>
  <c r="N29" i="10"/>
  <c r="N35" i="10"/>
  <c r="AH46" i="10" l="1"/>
  <c r="K45" i="3" s="1"/>
  <c r="P45" i="3" s="1"/>
  <c r="AH45" i="10"/>
  <c r="K44" i="3" s="1"/>
  <c r="N44" i="3" s="1"/>
  <c r="O67" i="10"/>
  <c r="G68" i="3" s="1"/>
  <c r="D10" i="1" s="1"/>
  <c r="O66" i="10"/>
  <c r="G67" i="3" s="1"/>
  <c r="D9" i="1" s="1"/>
  <c r="P64" i="10"/>
  <c r="H65" i="3" s="1"/>
  <c r="E7" i="1" s="1"/>
  <c r="P62" i="10"/>
  <c r="H63" i="3" s="1"/>
  <c r="O63" i="10"/>
  <c r="G64" i="3" s="1"/>
  <c r="D6" i="1" s="1"/>
  <c r="I63" i="3"/>
  <c r="S42" i="10"/>
  <c r="AB42" i="10"/>
  <c r="R42" i="10"/>
  <c r="O62" i="10"/>
  <c r="G63" i="3" s="1"/>
  <c r="N62" i="10"/>
  <c r="AB5" i="10"/>
  <c r="S41" i="10"/>
  <c r="R41" i="10"/>
  <c r="AB41" i="10"/>
  <c r="N64" i="10"/>
  <c r="R43" i="10"/>
  <c r="S43" i="10"/>
  <c r="AB43" i="10"/>
  <c r="S29" i="10"/>
  <c r="R29" i="10"/>
  <c r="AB37" i="10"/>
  <c r="R23" i="10"/>
  <c r="S23" i="10"/>
  <c r="R35" i="10"/>
  <c r="S35" i="10"/>
  <c r="S17" i="10"/>
  <c r="R17" i="10"/>
  <c r="AB31" i="10"/>
  <c r="S5" i="10"/>
  <c r="R5" i="10"/>
  <c r="R11" i="10"/>
  <c r="S11" i="10"/>
  <c r="AB25" i="10"/>
  <c r="AB13" i="10"/>
  <c r="AB7" i="10"/>
  <c r="AF22" i="8"/>
  <c r="AE25" i="8"/>
  <c r="AF25" i="8"/>
  <c r="AE26" i="8"/>
  <c r="AF26" i="8"/>
  <c r="AF27" i="8"/>
  <c r="AE27" i="8"/>
  <c r="AF12" i="8"/>
  <c r="AE23" i="8"/>
  <c r="AF23" i="8"/>
  <c r="AE12" i="8"/>
  <c r="AC21" i="8"/>
  <c r="AC28" i="8" s="1"/>
  <c r="V28" i="8"/>
  <c r="U28" i="8"/>
  <c r="AB21" i="8"/>
  <c r="AB28" i="8" s="1"/>
  <c r="N30" i="10"/>
  <c r="N12" i="10"/>
  <c r="N6" i="10"/>
  <c r="N24" i="10"/>
  <c r="N36" i="10"/>
  <c r="N18" i="10"/>
  <c r="AC21" i="10"/>
  <c r="AD7" i="10"/>
  <c r="AD29" i="10"/>
  <c r="O25" i="10"/>
  <c r="S25" i="10" s="1"/>
  <c r="O13" i="10"/>
  <c r="S13" i="10" s="1"/>
  <c r="O31" i="10"/>
  <c r="R31" i="10" s="1"/>
  <c r="O7" i="10"/>
  <c r="O19" i="10"/>
  <c r="O37" i="10"/>
  <c r="S37" i="10" s="1"/>
  <c r="AB35" i="10"/>
  <c r="P39" i="10"/>
  <c r="P21" i="10"/>
  <c r="P9" i="10"/>
  <c r="P27" i="10"/>
  <c r="P15" i="10"/>
  <c r="P33" i="10"/>
  <c r="AC39" i="10"/>
  <c r="AD31" i="10"/>
  <c r="AD11" i="10"/>
  <c r="AC35" i="10"/>
  <c r="P24" i="10"/>
  <c r="AD24" i="10" s="1"/>
  <c r="P12" i="10"/>
  <c r="AD12" i="10" s="1"/>
  <c r="P36" i="10"/>
  <c r="AD36" i="10" s="1"/>
  <c r="P30" i="10"/>
  <c r="AD30" i="10" s="1"/>
  <c r="P6" i="10"/>
  <c r="P18" i="10"/>
  <c r="AD18" i="10" s="1"/>
  <c r="P22" i="10"/>
  <c r="AD22" i="10" s="1"/>
  <c r="P40" i="10"/>
  <c r="AD40" i="10" s="1"/>
  <c r="P10" i="10"/>
  <c r="P28" i="10"/>
  <c r="AD28" i="10" s="1"/>
  <c r="P16" i="10"/>
  <c r="AD16" i="10" s="1"/>
  <c r="P34" i="10"/>
  <c r="AD34" i="10" s="1"/>
  <c r="AC33" i="10"/>
  <c r="AD37" i="10"/>
  <c r="AD23" i="10"/>
  <c r="AC6" i="10"/>
  <c r="AC17" i="10"/>
  <c r="AC15" i="10"/>
  <c r="AD13" i="10"/>
  <c r="AC10" i="10"/>
  <c r="AB29" i="10"/>
  <c r="AB23" i="10"/>
  <c r="N21" i="10"/>
  <c r="N27" i="10"/>
  <c r="N33" i="10"/>
  <c r="N39" i="10"/>
  <c r="N9" i="10"/>
  <c r="N15" i="10"/>
  <c r="AC5" i="10"/>
  <c r="AC27" i="10"/>
  <c r="AD25" i="10"/>
  <c r="AB17" i="10"/>
  <c r="AC23" i="10"/>
  <c r="AC9" i="10"/>
  <c r="AD35" i="10"/>
  <c r="AC29" i="10"/>
  <c r="AD17" i="10"/>
  <c r="AC11" i="10"/>
  <c r="AD19" i="10"/>
  <c r="AD5" i="10"/>
  <c r="N66" i="10" l="1"/>
  <c r="F67" i="3" s="1"/>
  <c r="O44" i="3"/>
  <c r="M45" i="3"/>
  <c r="N45" i="3"/>
  <c r="O45" i="3"/>
  <c r="P44" i="3"/>
  <c r="P67" i="10"/>
  <c r="H68" i="3" s="1"/>
  <c r="E10" i="1" s="1"/>
  <c r="M44" i="3"/>
  <c r="F65" i="3"/>
  <c r="C7" i="1" s="1"/>
  <c r="F63" i="3"/>
  <c r="S62" i="10"/>
  <c r="R62" i="10"/>
  <c r="F5" i="1"/>
  <c r="AF41" i="10"/>
  <c r="AG41" i="10"/>
  <c r="N63" i="10"/>
  <c r="P63" i="10"/>
  <c r="H64" i="3" s="1"/>
  <c r="E6" i="1" s="1"/>
  <c r="AF42" i="10"/>
  <c r="AG42" i="10"/>
  <c r="AG23" i="10"/>
  <c r="AG11" i="10"/>
  <c r="AG29" i="10"/>
  <c r="R7" i="10"/>
  <c r="O64" i="10"/>
  <c r="G65" i="3" s="1"/>
  <c r="D7" i="1" s="1"/>
  <c r="AF43" i="10"/>
  <c r="AG43" i="10"/>
  <c r="P66" i="10"/>
  <c r="H67" i="3" s="1"/>
  <c r="E9" i="1" s="1"/>
  <c r="AG35" i="10"/>
  <c r="AG5" i="10"/>
  <c r="AG17" i="10"/>
  <c r="AF5" i="10"/>
  <c r="AF11" i="10"/>
  <c r="AF23" i="10"/>
  <c r="AF17" i="10"/>
  <c r="AF29" i="10"/>
  <c r="AF35" i="10"/>
  <c r="S7" i="10"/>
  <c r="R19" i="10"/>
  <c r="S19" i="10"/>
  <c r="S12" i="10"/>
  <c r="R12" i="10"/>
  <c r="S21" i="10"/>
  <c r="R21" i="10"/>
  <c r="S6" i="10"/>
  <c r="R6" i="10"/>
  <c r="S30" i="10"/>
  <c r="R30" i="10"/>
  <c r="R37" i="10"/>
  <c r="S31" i="10"/>
  <c r="R15" i="10"/>
  <c r="S15" i="10"/>
  <c r="S9" i="10"/>
  <c r="R9" i="10"/>
  <c r="R39" i="10"/>
  <c r="S39" i="10"/>
  <c r="R25" i="10"/>
  <c r="R13" i="10"/>
  <c r="S33" i="10"/>
  <c r="R33" i="10"/>
  <c r="S18" i="10"/>
  <c r="R18" i="10"/>
  <c r="S24" i="10"/>
  <c r="R24" i="10"/>
  <c r="R27" i="10"/>
  <c r="S27" i="10"/>
  <c r="S36" i="10"/>
  <c r="R36" i="10"/>
  <c r="AB27" i="10"/>
  <c r="AD27" i="10"/>
  <c r="AB24" i="10"/>
  <c r="AG24" i="10" s="1"/>
  <c r="AD9" i="10"/>
  <c r="AB6" i="10"/>
  <c r="AB9" i="10"/>
  <c r="AD21" i="10"/>
  <c r="AC37" i="10"/>
  <c r="AB12" i="10"/>
  <c r="AG12" i="10" s="1"/>
  <c r="AB39" i="10"/>
  <c r="AD10" i="10"/>
  <c r="AD39" i="10"/>
  <c r="AC19" i="10"/>
  <c r="AG19" i="10" s="1"/>
  <c r="AB30" i="10"/>
  <c r="AG30" i="10" s="1"/>
  <c r="AB15" i="10"/>
  <c r="AB33" i="10"/>
  <c r="T28" i="8"/>
  <c r="D28" i="8" s="1"/>
  <c r="AA21" i="8"/>
  <c r="AC7" i="10"/>
  <c r="N28" i="10"/>
  <c r="N40" i="10"/>
  <c r="N22" i="10"/>
  <c r="N16" i="10"/>
  <c r="N34" i="10"/>
  <c r="AC31" i="10"/>
  <c r="AD33" i="10"/>
  <c r="AC13" i="10"/>
  <c r="AB18" i="10"/>
  <c r="AG18" i="10" s="1"/>
  <c r="AB21" i="10"/>
  <c r="AD6" i="10"/>
  <c r="AD15" i="10"/>
  <c r="AC25" i="10"/>
  <c r="AB36" i="10"/>
  <c r="AG36" i="10" s="1"/>
  <c r="AG27" i="10" l="1"/>
  <c r="AH5" i="10"/>
  <c r="K4" i="3" s="1"/>
  <c r="O4" i="3" s="1"/>
  <c r="AH35" i="10"/>
  <c r="K34" i="3" s="1"/>
  <c r="N34" i="3" s="1"/>
  <c r="AH11" i="10"/>
  <c r="K10" i="3" s="1"/>
  <c r="M10" i="3" s="1"/>
  <c r="AH42" i="10"/>
  <c r="K41" i="3" s="1"/>
  <c r="O41" i="3" s="1"/>
  <c r="N67" i="10"/>
  <c r="F68" i="3" s="1"/>
  <c r="AH29" i="10"/>
  <c r="K28" i="3" s="1"/>
  <c r="AG25" i="10"/>
  <c r="AF37" i="10"/>
  <c r="AH43" i="10"/>
  <c r="K42" i="3" s="1"/>
  <c r="AG21" i="10"/>
  <c r="AH17" i="10"/>
  <c r="K16" i="3" s="1"/>
  <c r="AG13" i="10"/>
  <c r="AH23" i="10"/>
  <c r="K22" i="3" s="1"/>
  <c r="AG37" i="10"/>
  <c r="F64" i="3"/>
  <c r="C6" i="1" s="1"/>
  <c r="S63" i="10"/>
  <c r="R63" i="10"/>
  <c r="R64" i="10"/>
  <c r="S64" i="10"/>
  <c r="C9" i="1"/>
  <c r="S66" i="10"/>
  <c r="R66" i="10"/>
  <c r="AH41" i="10"/>
  <c r="K40" i="3" s="1"/>
  <c r="AG6" i="10"/>
  <c r="AG31" i="10"/>
  <c r="AG15" i="10"/>
  <c r="AG7" i="10"/>
  <c r="AG39" i="10"/>
  <c r="AG33" i="10"/>
  <c r="AG9" i="10"/>
  <c r="AF27" i="10"/>
  <c r="AF9" i="10"/>
  <c r="AF12" i="10"/>
  <c r="AH12" i="10" s="1"/>
  <c r="K11" i="3" s="1"/>
  <c r="AF6" i="10"/>
  <c r="AF24" i="10"/>
  <c r="AH24" i="10" s="1"/>
  <c r="K23" i="3" s="1"/>
  <c r="AF7" i="10"/>
  <c r="AF25" i="10"/>
  <c r="AF15" i="10"/>
  <c r="AF19" i="10"/>
  <c r="AF31" i="10"/>
  <c r="AF21" i="10"/>
  <c r="AF13" i="10"/>
  <c r="AF36" i="10"/>
  <c r="AH36" i="10" s="1"/>
  <c r="K35" i="3" s="1"/>
  <c r="AF18" i="10"/>
  <c r="AH18" i="10" s="1"/>
  <c r="K17" i="3" s="1"/>
  <c r="AF33" i="10"/>
  <c r="AF30" i="10"/>
  <c r="AH30" i="10" s="1"/>
  <c r="K29" i="3" s="1"/>
  <c r="AF39" i="10"/>
  <c r="S34" i="10"/>
  <c r="R34" i="10"/>
  <c r="S16" i="10"/>
  <c r="R16" i="10"/>
  <c r="S22" i="10"/>
  <c r="R22" i="10"/>
  <c r="S40" i="10"/>
  <c r="R40" i="10"/>
  <c r="S28" i="10"/>
  <c r="R28" i="10"/>
  <c r="S10" i="10"/>
  <c r="R10" i="10"/>
  <c r="AA28" i="8"/>
  <c r="AE21" i="8"/>
  <c r="AE28" i="8" s="1"/>
  <c r="AF21" i="8"/>
  <c r="AF28" i="8" s="1"/>
  <c r="Y28" i="8"/>
  <c r="X28" i="8"/>
  <c r="AB16" i="10"/>
  <c r="AG16" i="10" s="1"/>
  <c r="AB22" i="10"/>
  <c r="AG22" i="10" s="1"/>
  <c r="AB10" i="10"/>
  <c r="AG10" i="10" s="1"/>
  <c r="C5" i="1"/>
  <c r="AB28" i="10"/>
  <c r="AG28" i="10" s="1"/>
  <c r="AB34" i="10"/>
  <c r="AG34" i="10" s="1"/>
  <c r="D5" i="1"/>
  <c r="E5" i="1"/>
  <c r="AB40" i="10"/>
  <c r="AG40" i="10" s="1"/>
  <c r="AH39" i="10" l="1"/>
  <c r="K38" i="3" s="1"/>
  <c r="M38" i="3" s="1"/>
  <c r="P10" i="3"/>
  <c r="M41" i="3"/>
  <c r="N41" i="3"/>
  <c r="O10" i="3"/>
  <c r="N10" i="3"/>
  <c r="P41" i="3"/>
  <c r="M34" i="3"/>
  <c r="P4" i="3"/>
  <c r="AH27" i="10"/>
  <c r="K26" i="3" s="1"/>
  <c r="N26" i="3" s="1"/>
  <c r="N4" i="3"/>
  <c r="S67" i="10"/>
  <c r="M4" i="3"/>
  <c r="P34" i="3"/>
  <c r="R67" i="10"/>
  <c r="O34" i="3"/>
  <c r="AH6" i="10"/>
  <c r="K5" i="3" s="1"/>
  <c r="P5" i="3" s="1"/>
  <c r="AH33" i="10"/>
  <c r="K32" i="3" s="1"/>
  <c r="P32" i="3" s="1"/>
  <c r="N29" i="3"/>
  <c r="M29" i="3"/>
  <c r="P29" i="3"/>
  <c r="O29" i="3"/>
  <c r="AH13" i="10"/>
  <c r="K12" i="3" s="1"/>
  <c r="AH25" i="10"/>
  <c r="K24" i="3" s="1"/>
  <c r="P22" i="3"/>
  <c r="M22" i="3"/>
  <c r="O22" i="3"/>
  <c r="N22" i="3"/>
  <c r="O16" i="3"/>
  <c r="P16" i="3"/>
  <c r="N16" i="3"/>
  <c r="M16" i="3"/>
  <c r="AH37" i="10"/>
  <c r="K36" i="3" s="1"/>
  <c r="AH7" i="10"/>
  <c r="K6" i="3" s="1"/>
  <c r="O11" i="3"/>
  <c r="N11" i="3"/>
  <c r="M11" i="3"/>
  <c r="P11" i="3"/>
  <c r="N42" i="3"/>
  <c r="O42" i="3"/>
  <c r="P42" i="3"/>
  <c r="M42" i="3"/>
  <c r="AH19" i="10"/>
  <c r="K18" i="3" s="1"/>
  <c r="P40" i="3"/>
  <c r="O40" i="3"/>
  <c r="M40" i="3"/>
  <c r="N40" i="3"/>
  <c r="N28" i="3"/>
  <c r="M28" i="3"/>
  <c r="O28" i="3"/>
  <c r="P28" i="3"/>
  <c r="P17" i="3"/>
  <c r="O17" i="3"/>
  <c r="N17" i="3"/>
  <c r="M17" i="3"/>
  <c r="AH15" i="10"/>
  <c r="K14" i="3" s="1"/>
  <c r="AH21" i="10"/>
  <c r="K20" i="3" s="1"/>
  <c r="M23" i="3"/>
  <c r="P23" i="3"/>
  <c r="O23" i="3"/>
  <c r="N23" i="3"/>
  <c r="AH31" i="10"/>
  <c r="K30" i="3" s="1"/>
  <c r="O35" i="3"/>
  <c r="M35" i="3"/>
  <c r="N35" i="3"/>
  <c r="P35" i="3"/>
  <c r="AH9" i="10"/>
  <c r="K8" i="3" s="1"/>
  <c r="AF40" i="10"/>
  <c r="AH40" i="10" s="1"/>
  <c r="K39" i="3" s="1"/>
  <c r="AF22" i="10"/>
  <c r="AH22" i="10" s="1"/>
  <c r="K21" i="3" s="1"/>
  <c r="AF10" i="10"/>
  <c r="AH10" i="10" s="1"/>
  <c r="K9" i="3" s="1"/>
  <c r="AF16" i="10"/>
  <c r="AH16" i="10" s="1"/>
  <c r="K15" i="3" s="1"/>
  <c r="AF34" i="10"/>
  <c r="AH34" i="10" s="1"/>
  <c r="K33" i="3" s="1"/>
  <c r="AF28" i="10"/>
  <c r="AH28" i="10" s="1"/>
  <c r="K27" i="3" s="1"/>
  <c r="O39" i="3" l="1"/>
  <c r="N39" i="3"/>
  <c r="P39" i="3"/>
  <c r="M39" i="3"/>
  <c r="O38" i="3"/>
  <c r="P38" i="3"/>
  <c r="N38" i="3"/>
  <c r="M5" i="3"/>
  <c r="M64" i="3" s="1"/>
  <c r="G6" i="1" s="1"/>
  <c r="N5" i="3"/>
  <c r="N64" i="3" s="1"/>
  <c r="H6" i="1" s="1"/>
  <c r="O5" i="3"/>
  <c r="O64" i="3" s="1"/>
  <c r="I6" i="1" s="1"/>
  <c r="P26" i="3"/>
  <c r="M26" i="3"/>
  <c r="O26" i="3"/>
  <c r="P63" i="3"/>
  <c r="N32" i="3"/>
  <c r="M32" i="3"/>
  <c r="O32" i="3"/>
  <c r="O63" i="3"/>
  <c r="M63" i="3"/>
  <c r="N63" i="3"/>
  <c r="N21" i="3"/>
  <c r="M21" i="3"/>
  <c r="P21" i="3"/>
  <c r="O21" i="3"/>
  <c r="P24" i="3"/>
  <c r="O24" i="3"/>
  <c r="N24" i="3"/>
  <c r="M24" i="3"/>
  <c r="P8" i="3"/>
  <c r="O8" i="3"/>
  <c r="N8" i="3"/>
  <c r="M8" i="3"/>
  <c r="P64" i="3"/>
  <c r="J6" i="1" s="1"/>
  <c r="P6" i="3"/>
  <c r="M6" i="3"/>
  <c r="O6" i="3"/>
  <c r="N6" i="3"/>
  <c r="M15" i="3"/>
  <c r="P15" i="3"/>
  <c r="O15" i="3"/>
  <c r="N15" i="3"/>
  <c r="M14" i="3"/>
  <c r="P14" i="3"/>
  <c r="N14" i="3"/>
  <c r="O14" i="3"/>
  <c r="O27" i="3"/>
  <c r="N27" i="3"/>
  <c r="M27" i="3"/>
  <c r="P27" i="3"/>
  <c r="M20" i="3"/>
  <c r="N20" i="3"/>
  <c r="P20" i="3"/>
  <c r="O20" i="3"/>
  <c r="P33" i="3"/>
  <c r="O33" i="3"/>
  <c r="N33" i="3"/>
  <c r="M33" i="3"/>
  <c r="P9" i="3"/>
  <c r="N9" i="3"/>
  <c r="O9" i="3"/>
  <c r="M9" i="3"/>
  <c r="M30" i="3"/>
  <c r="P30" i="3"/>
  <c r="O30" i="3"/>
  <c r="N30" i="3"/>
  <c r="O18" i="3"/>
  <c r="N18" i="3"/>
  <c r="P18" i="3"/>
  <c r="M18" i="3"/>
  <c r="M36" i="3"/>
  <c r="N36" i="3"/>
  <c r="P36" i="3"/>
  <c r="O36" i="3"/>
  <c r="N12" i="3"/>
  <c r="M12" i="3"/>
  <c r="P12" i="3"/>
  <c r="O12" i="3"/>
  <c r="C10" i="1"/>
  <c r="I5" i="1" l="1"/>
  <c r="J5" i="1"/>
  <c r="H5" i="1"/>
  <c r="G5" i="1"/>
  <c r="M68" i="3"/>
  <c r="G10" i="1" s="1"/>
  <c r="G9" i="1"/>
  <c r="P68" i="3"/>
  <c r="J10" i="1" s="1"/>
  <c r="O68" i="3"/>
  <c r="I10" i="1" s="1"/>
  <c r="M65" i="3"/>
  <c r="G7" i="1" s="1"/>
  <c r="P65" i="3"/>
  <c r="J7" i="1" s="1"/>
  <c r="H9" i="1"/>
  <c r="N68" i="3"/>
  <c r="H10" i="1" s="1"/>
  <c r="I9" i="1"/>
  <c r="N65" i="3"/>
  <c r="H7" i="1" s="1"/>
  <c r="J9" i="1"/>
  <c r="O65" i="3"/>
  <c r="I7" i="1" s="1"/>
  <c r="E177" i="8" l="1"/>
  <c r="G8" i="10"/>
  <c r="N8" i="10" s="1"/>
  <c r="AB8" i="10" l="1"/>
  <c r="H177" i="8"/>
  <c r="I177" i="8"/>
  <c r="G38" i="10"/>
  <c r="N38" i="10" s="1"/>
  <c r="G177" i="8"/>
  <c r="G14" i="10"/>
  <c r="F177" i="8"/>
  <c r="G32" i="10"/>
  <c r="G20" i="10"/>
  <c r="N20" i="10"/>
  <c r="AB20" i="10" s="1"/>
  <c r="G26" i="10"/>
  <c r="N26" i="10"/>
  <c r="AB26" i="10" s="1"/>
  <c r="J177" i="8"/>
  <c r="AB38" i="10" l="1"/>
  <c r="N14" i="10"/>
  <c r="N32" i="10"/>
  <c r="AB14" i="10" l="1"/>
  <c r="AB32" i="10"/>
  <c r="H26" i="10"/>
  <c r="V177" i="8"/>
  <c r="AH177" i="8"/>
  <c r="H32" i="10"/>
  <c r="R177" i="8"/>
  <c r="I44" i="10"/>
  <c r="P44" i="10"/>
  <c r="AD44" i="10" s="1"/>
  <c r="X177" i="8"/>
  <c r="K177" i="8"/>
  <c r="L177" i="8"/>
  <c r="AC177" i="8"/>
  <c r="H14" i="10"/>
  <c r="K14" i="10" s="1"/>
  <c r="AF177" i="8"/>
  <c r="S177" i="8"/>
  <c r="AD177" i="8"/>
  <c r="I26" i="10"/>
  <c r="P26" i="10" s="1"/>
  <c r="AD26" i="10" s="1"/>
  <c r="H38" i="10"/>
  <c r="O38" i="10" s="1"/>
  <c r="N177" i="8"/>
  <c r="I14" i="10"/>
  <c r="P14" i="10" s="1"/>
  <c r="AD14" i="10" s="1"/>
  <c r="U177" i="8"/>
  <c r="J26" i="10"/>
  <c r="Q26" i="10" s="1"/>
  <c r="AE26" i="10" s="1"/>
  <c r="H44" i="10"/>
  <c r="O44" i="10" s="1"/>
  <c r="AC44" i="10" s="1"/>
  <c r="J38" i="10"/>
  <c r="Q38" i="10" s="1"/>
  <c r="AE38" i="10" s="1"/>
  <c r="J14" i="10"/>
  <c r="Q14" i="10" s="1"/>
  <c r="AE14" i="10" s="1"/>
  <c r="AJ177" i="8"/>
  <c r="P177" i="8"/>
  <c r="I38" i="10"/>
  <c r="J44" i="10"/>
  <c r="Q44" i="10" s="1"/>
  <c r="AE44" i="10" s="1"/>
  <c r="T177" i="8"/>
  <c r="I32" i="10"/>
  <c r="P32" i="10" s="1"/>
  <c r="AD32" i="10" s="1"/>
  <c r="AE177" i="8"/>
  <c r="AG177" i="8"/>
  <c r="O177" i="8"/>
  <c r="AI177" i="8"/>
  <c r="M177" i="8"/>
  <c r="W177" i="8"/>
  <c r="Y177" i="8"/>
  <c r="Z177" i="8"/>
  <c r="AA177" i="8"/>
  <c r="AB177" i="8"/>
  <c r="I20" i="10"/>
  <c r="P20" i="10" s="1"/>
  <c r="AD20" i="10" s="1"/>
  <c r="I8" i="10"/>
  <c r="I65" i="10" s="1"/>
  <c r="I68" i="10" s="1"/>
  <c r="P8" i="10"/>
  <c r="AD8" i="10" s="1"/>
  <c r="H8" i="10"/>
  <c r="L20" i="10"/>
  <c r="H20" i="10"/>
  <c r="O20" i="10" s="1"/>
  <c r="J8" i="10"/>
  <c r="Q8" i="10" s="1"/>
  <c r="G44" i="10"/>
  <c r="N44" i="10" s="1"/>
  <c r="J32" i="10"/>
  <c r="Q32" i="10" s="1"/>
  <c r="AE32" i="10" s="1"/>
  <c r="J20" i="10"/>
  <c r="Q20" i="10" s="1"/>
  <c r="AE20" i="10" s="1"/>
  <c r="Q177" i="8"/>
  <c r="AL177" i="8" l="1"/>
  <c r="AK177" i="8"/>
  <c r="L26" i="10"/>
  <c r="AB44" i="10"/>
  <c r="S44" i="10"/>
  <c r="R44" i="10"/>
  <c r="N65" i="10"/>
  <c r="AE8" i="10"/>
  <c r="Q65" i="10"/>
  <c r="K20" i="10"/>
  <c r="AC20" i="10"/>
  <c r="S20" i="10"/>
  <c r="AC38" i="10"/>
  <c r="H65" i="10"/>
  <c r="H68" i="10" s="1"/>
  <c r="K8" i="10"/>
  <c r="L8" i="10"/>
  <c r="O8" i="10"/>
  <c r="K38" i="10"/>
  <c r="L32" i="10"/>
  <c r="L44" i="10"/>
  <c r="K44" i="10"/>
  <c r="G65" i="10"/>
  <c r="R20" i="10"/>
  <c r="J65" i="10"/>
  <c r="J68" i="10" s="1"/>
  <c r="P65" i="10"/>
  <c r="L38" i="10"/>
  <c r="K32" i="10"/>
  <c r="O26" i="10"/>
  <c r="P38" i="10"/>
  <c r="AD38" i="10" s="1"/>
  <c r="L14" i="10"/>
  <c r="O32" i="10"/>
  <c r="O14" i="10"/>
  <c r="K26" i="10"/>
  <c r="I66" i="3" l="1"/>
  <c r="Q68" i="10"/>
  <c r="AF38" i="10"/>
  <c r="AG38" i="10"/>
  <c r="R14" i="10"/>
  <c r="AC14" i="10"/>
  <c r="S14" i="10"/>
  <c r="N68" i="10"/>
  <c r="F66" i="3"/>
  <c r="P68" i="10"/>
  <c r="H66" i="3"/>
  <c r="R8" i="10"/>
  <c r="S8" i="10"/>
  <c r="AC8" i="10"/>
  <c r="O65" i="10"/>
  <c r="R65" i="10" s="1"/>
  <c r="R68" i="10" s="1"/>
  <c r="AF20" i="10"/>
  <c r="AG20" i="10"/>
  <c r="S26" i="10"/>
  <c r="AC26" i="10"/>
  <c r="R26" i="10"/>
  <c r="S32" i="10"/>
  <c r="R32" i="10"/>
  <c r="AC32" i="10"/>
  <c r="S38" i="10"/>
  <c r="AG44" i="10"/>
  <c r="AF44" i="10"/>
  <c r="L65" i="10"/>
  <c r="L68" i="10" s="1"/>
  <c r="K65" i="10"/>
  <c r="K68" i="10" s="1"/>
  <c r="G68" i="10"/>
  <c r="R38" i="10"/>
  <c r="AH44" i="10" l="1"/>
  <c r="K43" i="3" s="1"/>
  <c r="M43" i="3" s="1"/>
  <c r="AF26" i="10"/>
  <c r="AG26" i="10"/>
  <c r="AF14" i="10"/>
  <c r="AG14" i="10"/>
  <c r="E8" i="1"/>
  <c r="H70" i="3"/>
  <c r="S65" i="10"/>
  <c r="S68" i="10" s="1"/>
  <c r="AH20" i="10"/>
  <c r="K19" i="3" s="1"/>
  <c r="C8" i="1"/>
  <c r="F70" i="3"/>
  <c r="AH38" i="10"/>
  <c r="K37" i="3" s="1"/>
  <c r="AF32" i="10"/>
  <c r="AG32" i="10"/>
  <c r="O68" i="10"/>
  <c r="G66" i="3"/>
  <c r="AG8" i="10"/>
  <c r="AF8" i="10"/>
  <c r="F8" i="1"/>
  <c r="I70" i="3"/>
  <c r="F12" i="1" l="1"/>
  <c r="F13" i="1" s="1"/>
  <c r="E12" i="1"/>
  <c r="E13" i="1" s="1"/>
  <c r="C12" i="1"/>
  <c r="C13" i="1" s="1"/>
  <c r="O43" i="3"/>
  <c r="N43" i="3"/>
  <c r="P43" i="3"/>
  <c r="AH8" i="10"/>
  <c r="K7" i="3" s="1"/>
  <c r="P7" i="3" s="1"/>
  <c r="AH32" i="10"/>
  <c r="K31" i="3" s="1"/>
  <c r="O31" i="3" s="1"/>
  <c r="P19" i="3"/>
  <c r="N19" i="3"/>
  <c r="M19" i="3"/>
  <c r="O19" i="3"/>
  <c r="O37" i="3"/>
  <c r="M37" i="3"/>
  <c r="N37" i="3"/>
  <c r="P37" i="3"/>
  <c r="AH14" i="10"/>
  <c r="K13" i="3" s="1"/>
  <c r="G70" i="3"/>
  <c r="D8" i="1"/>
  <c r="AH26" i="10"/>
  <c r="K25" i="3" s="1"/>
  <c r="M7" i="3" l="1"/>
  <c r="D12" i="1"/>
  <c r="D13" i="1" s="1"/>
  <c r="O7" i="3"/>
  <c r="N7" i="3"/>
  <c r="N31" i="3"/>
  <c r="P31" i="3"/>
  <c r="M31" i="3"/>
  <c r="O66" i="3"/>
  <c r="O70" i="3" s="1"/>
  <c r="M13" i="3"/>
  <c r="M66" i="3" s="1"/>
  <c r="M70" i="3" s="1"/>
  <c r="N13" i="3"/>
  <c r="N66" i="3" s="1"/>
  <c r="N70" i="3" s="1"/>
  <c r="O13" i="3"/>
  <c r="P13" i="3"/>
  <c r="P66" i="3" s="1"/>
  <c r="P70" i="3" s="1"/>
  <c r="P25" i="3"/>
  <c r="M25" i="3"/>
  <c r="N25" i="3"/>
  <c r="O25" i="3"/>
  <c r="G8" i="1" l="1"/>
  <c r="I8" i="1"/>
  <c r="H8" i="1"/>
  <c r="J8" i="1"/>
  <c r="AN177" i="8"/>
  <c r="AQ177" i="8"/>
  <c r="AO177" i="8"/>
  <c r="AT177" i="8"/>
  <c r="BN177" i="8"/>
  <c r="AR177" i="8"/>
  <c r="BR177" i="8"/>
  <c r="BC177" i="8"/>
  <c r="AS177" i="8"/>
  <c r="BS177" i="8"/>
  <c r="BA177" i="8"/>
  <c r="AV177" i="8"/>
  <c r="AX177" i="8"/>
  <c r="BH177" i="8"/>
  <c r="AZ177" i="8"/>
  <c r="BM177" i="8"/>
  <c r="AP177" i="8"/>
  <c r="BF177" i="8"/>
  <c r="BL177" i="8"/>
  <c r="BG177" i="8"/>
  <c r="BK177" i="8"/>
  <c r="AY177" i="8"/>
  <c r="BP177" i="8"/>
  <c r="BI177" i="8"/>
  <c r="BO177" i="8"/>
  <c r="BE177" i="8"/>
  <c r="BB177" i="8"/>
  <c r="BD177" i="8"/>
  <c r="AU177" i="8"/>
  <c r="BU106" i="8"/>
  <c r="BT106" i="8"/>
  <c r="BJ177" i="8"/>
  <c r="BQ177" i="8"/>
  <c r="AW177" i="8"/>
  <c r="J12" i="1" l="1"/>
  <c r="J13" i="1" s="1"/>
  <c r="H12" i="1"/>
  <c r="H13" i="1" s="1"/>
  <c r="I12" i="1"/>
  <c r="I13" i="1" s="1"/>
  <c r="G12" i="1"/>
  <c r="G13" i="1" s="1"/>
  <c r="BU177" i="8"/>
  <c r="BT177" i="8"/>
  <c r="BW177" i="8"/>
  <c r="BX177" i="8"/>
  <c r="BY177" i="8"/>
  <c r="BZ177" i="8"/>
  <c r="CA177" i="8"/>
  <c r="CB177" i="8"/>
  <c r="CU106" i="8"/>
  <c r="CP161" i="8"/>
  <c r="CP158" i="8"/>
  <c r="CP94" i="8"/>
  <c r="CD177" i="8"/>
  <c r="CP59" i="8" s="1"/>
  <c r="CP120" i="8" l="1"/>
  <c r="CP133" i="8"/>
  <c r="CP103" i="8"/>
  <c r="CP140" i="8"/>
  <c r="CP119" i="8"/>
  <c r="CP87" i="8"/>
  <c r="CP135" i="8"/>
  <c r="CP41" i="8"/>
  <c r="CP102" i="8"/>
  <c r="CP104" i="8"/>
  <c r="CP92" i="8"/>
  <c r="CP142" i="8"/>
  <c r="CP139" i="8"/>
  <c r="CP172" i="8"/>
  <c r="CP54" i="8"/>
  <c r="CP124" i="8"/>
  <c r="CP147" i="8"/>
  <c r="CP148" i="8"/>
  <c r="CP97" i="8"/>
  <c r="CP114" i="8"/>
  <c r="CP131" i="8"/>
  <c r="CP72" i="8"/>
  <c r="CP130" i="8"/>
  <c r="CP74" i="8"/>
  <c r="CP75" i="8" s="1"/>
  <c r="CP56" i="8"/>
  <c r="CP143" i="8"/>
  <c r="CP48" i="8"/>
  <c r="CP63" i="8"/>
  <c r="CP45" i="8"/>
  <c r="CP156" i="8"/>
  <c r="CP137" i="8"/>
  <c r="CP69" i="8"/>
  <c r="CP90" i="8"/>
  <c r="CP118" i="8"/>
  <c r="CU177" i="8"/>
  <c r="CP113" i="8"/>
  <c r="CP100" i="8"/>
  <c r="CP82" i="8"/>
  <c r="CP122" i="8"/>
  <c r="CP152" i="8"/>
  <c r="CP93" i="8"/>
  <c r="CP150" i="8"/>
  <c r="CP43" i="8"/>
  <c r="CP112" i="8"/>
  <c r="CP88" i="8"/>
  <c r="CP167" i="8"/>
  <c r="CP110" i="8"/>
  <c r="CP49" i="8"/>
  <c r="CP123" i="8"/>
  <c r="CP165" i="8"/>
  <c r="CP77" i="8"/>
  <c r="CP145" i="8"/>
  <c r="CP138" i="8"/>
  <c r="CP164" i="8"/>
  <c r="CP84" i="8"/>
  <c r="CP81" i="8"/>
  <c r="CP157" i="8"/>
  <c r="CP83" i="8"/>
  <c r="CP42" i="8"/>
  <c r="CP51" i="8"/>
  <c r="CP101" i="8"/>
  <c r="CP78" i="8"/>
  <c r="CP37" i="8"/>
  <c r="CP60" i="8"/>
  <c r="CP155" i="8"/>
  <c r="CP71" i="8"/>
  <c r="CP46" i="8"/>
  <c r="CP80" i="8"/>
  <c r="CP67" i="8"/>
  <c r="CP126" i="8"/>
  <c r="CP96" i="8"/>
  <c r="CP115" i="8"/>
  <c r="CP127" i="8"/>
  <c r="CP128" i="8"/>
  <c r="CP105" i="8"/>
  <c r="CP39" i="8"/>
  <c r="CP132" i="8"/>
  <c r="CP151" i="8"/>
  <c r="CP125" i="8"/>
  <c r="CP91" i="8"/>
  <c r="CP85" i="8"/>
  <c r="CP68" i="8"/>
  <c r="CP116" i="8"/>
  <c r="CP61" i="8"/>
  <c r="CP62" i="8"/>
  <c r="CP47" i="8"/>
  <c r="CP134" i="8"/>
  <c r="CP111" i="8"/>
  <c r="CP169" i="8"/>
  <c r="CP160" i="8"/>
  <c r="CP99" i="8"/>
  <c r="CP149" i="8"/>
  <c r="CP121" i="8"/>
  <c r="CP154" i="8"/>
  <c r="CP76" i="8"/>
  <c r="CP159" i="8"/>
  <c r="CP168" i="8"/>
  <c r="CP57" i="8"/>
  <c r="CP50" i="8"/>
  <c r="CP44" i="8"/>
  <c r="CP66" i="8"/>
  <c r="CP136" i="8"/>
  <c r="CP170" i="8"/>
  <c r="CP171" i="8"/>
  <c r="CP144" i="8"/>
  <c r="CP163" i="8"/>
  <c r="CP55" i="8"/>
  <c r="CP141" i="8"/>
  <c r="CP129" i="8"/>
  <c r="CP52" i="8"/>
  <c r="CP174" i="8"/>
  <c r="CP117" i="8"/>
  <c r="CP173" i="8"/>
  <c r="CP79" i="8"/>
  <c r="CP86" i="8"/>
  <c r="CP153" i="8"/>
  <c r="CP98" i="8"/>
  <c r="CP162" i="8"/>
  <c r="CP64" i="8"/>
  <c r="CP89" i="8"/>
  <c r="CP146" i="8"/>
  <c r="CP95" i="8"/>
  <c r="CP65" i="8"/>
  <c r="CP70" i="8"/>
  <c r="CP40" i="8"/>
  <c r="CP38" i="8"/>
  <c r="CP109" i="8"/>
  <c r="CP53" i="8"/>
  <c r="CP107" i="8"/>
  <c r="CP108" i="8" s="1"/>
  <c r="CP106" i="8" l="1"/>
  <c r="CP166" i="8"/>
  <c r="CP73" i="8"/>
  <c r="CP58" i="8"/>
  <c r="CP175" i="8"/>
  <c r="CN106" i="8"/>
  <c r="CM106" i="8"/>
  <c r="CX106" i="8"/>
  <c r="CV106" i="8"/>
  <c r="CK106" i="8"/>
  <c r="CG177" i="8"/>
  <c r="CS141" i="8" s="1"/>
  <c r="CW106" i="8"/>
  <c r="CL106" i="8"/>
  <c r="CE177" i="8"/>
  <c r="CQ65" i="8" s="1"/>
  <c r="CF177" i="8"/>
  <c r="CR117" i="8" s="1"/>
  <c r="CS147" i="8" l="1"/>
  <c r="CS83" i="8"/>
  <c r="CR63" i="8"/>
  <c r="CS39" i="8"/>
  <c r="CR60" i="8"/>
  <c r="CQ173" i="8"/>
  <c r="CQ168" i="8"/>
  <c r="CS128" i="8"/>
  <c r="CQ94" i="8"/>
  <c r="CR122" i="8"/>
  <c r="CS153" i="8"/>
  <c r="CS69" i="8"/>
  <c r="CR107" i="8"/>
  <c r="CR108" i="8" s="1"/>
  <c r="CQ43" i="8"/>
  <c r="CR72" i="8"/>
  <c r="CS90" i="8"/>
  <c r="CS67" i="8"/>
  <c r="CS51" i="8"/>
  <c r="CV177" i="8"/>
  <c r="CR91" i="8"/>
  <c r="CS159" i="8"/>
  <c r="CS135" i="8"/>
  <c r="CR112" i="8"/>
  <c r="CQ78" i="8"/>
  <c r="CR88" i="8"/>
  <c r="CR80" i="8"/>
  <c r="CS44" i="8"/>
  <c r="CS172" i="8"/>
  <c r="CQ76" i="8"/>
  <c r="CQ153" i="8"/>
  <c r="CR120" i="8"/>
  <c r="CR70" i="8"/>
  <c r="CS79" i="8"/>
  <c r="CS109" i="8"/>
  <c r="CQ113" i="8"/>
  <c r="CQ82" i="8"/>
  <c r="CR99" i="8"/>
  <c r="CR125" i="8"/>
  <c r="CS162" i="8"/>
  <c r="CS63" i="8"/>
  <c r="CQ57" i="8"/>
  <c r="CQ158" i="8"/>
  <c r="CQ133" i="8"/>
  <c r="CQ119" i="8"/>
  <c r="CQ102" i="8"/>
  <c r="CQ93" i="8"/>
  <c r="CQ131" i="8"/>
  <c r="CQ56" i="8"/>
  <c r="CQ55" i="8"/>
  <c r="CQ38" i="8"/>
  <c r="CQ48" i="8"/>
  <c r="CQ61" i="8"/>
  <c r="CR76" i="8"/>
  <c r="CR68" i="8"/>
  <c r="CR135" i="8"/>
  <c r="CR152" i="8"/>
  <c r="CS66" i="8"/>
  <c r="CS161" i="8"/>
  <c r="CS155" i="8"/>
  <c r="CS43" i="8"/>
  <c r="CS174" i="8"/>
  <c r="CR37" i="8"/>
  <c r="CQ170" i="8"/>
  <c r="CQ80" i="8"/>
  <c r="CQ148" i="8"/>
  <c r="CQ150" i="8"/>
  <c r="CQ107" i="8"/>
  <c r="CQ108" i="8" s="1"/>
  <c r="CQ96" i="8"/>
  <c r="CQ143" i="8"/>
  <c r="CQ172" i="8"/>
  <c r="CQ62" i="8"/>
  <c r="CQ138" i="8"/>
  <c r="CQ140" i="8"/>
  <c r="CQ103" i="8"/>
  <c r="CQ162" i="8"/>
  <c r="CR157" i="8"/>
  <c r="CR138" i="8"/>
  <c r="CR168" i="8"/>
  <c r="CR95" i="8"/>
  <c r="CS102" i="8"/>
  <c r="CS150" i="8"/>
  <c r="CS91" i="8"/>
  <c r="CS46" i="8"/>
  <c r="CS173" i="8"/>
  <c r="CS167" i="8"/>
  <c r="CQ47" i="8"/>
  <c r="CQ151" i="8"/>
  <c r="CQ152" i="8"/>
  <c r="CQ122" i="8"/>
  <c r="CQ171" i="8"/>
  <c r="CQ84" i="8"/>
  <c r="CR147" i="8"/>
  <c r="CR161" i="8"/>
  <c r="CR159" i="8"/>
  <c r="CR148" i="8"/>
  <c r="CS168" i="8"/>
  <c r="CS149" i="8"/>
  <c r="CS41" i="8"/>
  <c r="CS62" i="8"/>
  <c r="CS131" i="8"/>
  <c r="CQ114" i="8"/>
  <c r="CQ79" i="8"/>
  <c r="CQ127" i="8"/>
  <c r="CQ72" i="8"/>
  <c r="CQ160" i="8"/>
  <c r="CR59" i="8"/>
  <c r="CQ120" i="8"/>
  <c r="CQ99" i="8"/>
  <c r="CQ95" i="8"/>
  <c r="CQ146" i="8"/>
  <c r="CQ136" i="8"/>
  <c r="CQ123" i="8"/>
  <c r="CQ112" i="8"/>
  <c r="CQ98" i="8"/>
  <c r="CR119" i="8"/>
  <c r="CR151" i="8"/>
  <c r="CR78" i="8"/>
  <c r="CR43" i="8"/>
  <c r="CS57" i="8"/>
  <c r="CS42" i="8"/>
  <c r="CS132" i="8"/>
  <c r="CS145" i="8"/>
  <c r="CS40" i="8"/>
  <c r="CS47" i="8"/>
  <c r="CQ117" i="8"/>
  <c r="CQ39" i="8"/>
  <c r="CQ159" i="8"/>
  <c r="CQ121" i="8"/>
  <c r="CQ60" i="8"/>
  <c r="CQ161" i="8"/>
  <c r="CK177" i="8"/>
  <c r="CQ144" i="8"/>
  <c r="CQ52" i="8"/>
  <c r="CQ134" i="8"/>
  <c r="CQ87" i="8"/>
  <c r="CQ109" i="8"/>
  <c r="CQ155" i="8"/>
  <c r="CR100" i="8"/>
  <c r="CR52" i="8"/>
  <c r="CR54" i="8"/>
  <c r="CR79" i="8"/>
  <c r="CS121" i="8"/>
  <c r="CS115" i="8"/>
  <c r="CS157" i="8"/>
  <c r="CS71" i="8"/>
  <c r="CS146" i="8"/>
  <c r="CS88" i="8"/>
  <c r="CS117" i="8"/>
  <c r="CQ100" i="8"/>
  <c r="CQ164" i="8"/>
  <c r="CQ54" i="8"/>
  <c r="CQ68" i="8"/>
  <c r="CR113" i="8"/>
  <c r="CR90" i="8"/>
  <c r="CR139" i="8"/>
  <c r="CR118" i="8"/>
  <c r="CR173" i="8"/>
  <c r="CR134" i="8"/>
  <c r="CR128" i="8"/>
  <c r="CR127" i="8"/>
  <c r="CR101" i="8"/>
  <c r="CR149" i="8"/>
  <c r="CR121" i="8"/>
  <c r="CR48" i="8"/>
  <c r="CR137" i="8"/>
  <c r="CR85" i="8"/>
  <c r="CR84" i="8"/>
  <c r="CR83" i="8"/>
  <c r="CS170" i="8"/>
  <c r="CS86" i="8"/>
  <c r="CN177" i="8"/>
  <c r="CS105" i="8"/>
  <c r="CS101" i="8"/>
  <c r="CS116" i="8"/>
  <c r="CS49" i="8"/>
  <c r="CS134" i="8"/>
  <c r="CS107" i="8"/>
  <c r="CS108" i="8" s="1"/>
  <c r="CQ147" i="8"/>
  <c r="CQ45" i="8"/>
  <c r="CQ156" i="8"/>
  <c r="CQ130" i="8"/>
  <c r="CQ69" i="8"/>
  <c r="CQ126" i="8"/>
  <c r="CQ89" i="8"/>
  <c r="CQ51" i="8"/>
  <c r="CQ97" i="8"/>
  <c r="CQ63" i="8"/>
  <c r="CR42" i="8"/>
  <c r="CR40" i="8"/>
  <c r="CR141" i="8"/>
  <c r="CR158" i="8"/>
  <c r="CR140" i="8"/>
  <c r="CR71" i="8"/>
  <c r="CR103" i="8"/>
  <c r="CR87" i="8"/>
  <c r="CR126" i="8"/>
  <c r="CR111" i="8"/>
  <c r="CR86" i="8"/>
  <c r="CR109" i="8"/>
  <c r="CR145" i="8"/>
  <c r="CR44" i="8"/>
  <c r="CR61" i="8"/>
  <c r="CR133" i="8"/>
  <c r="CS50" i="8"/>
  <c r="CS68" i="8"/>
  <c r="CS92" i="8"/>
  <c r="CS171" i="8"/>
  <c r="CS120" i="8"/>
  <c r="CS64" i="8"/>
  <c r="CS45" i="8"/>
  <c r="CS164" i="8"/>
  <c r="CS144" i="8"/>
  <c r="CS53" i="8"/>
  <c r="CS136" i="8"/>
  <c r="CS129" i="8"/>
  <c r="CS114" i="8"/>
  <c r="CS77" i="8"/>
  <c r="CS140" i="8"/>
  <c r="CQ167" i="8"/>
  <c r="CQ163" i="8"/>
  <c r="CQ40" i="8"/>
  <c r="CQ85" i="8"/>
  <c r="CQ145" i="8"/>
  <c r="CQ157" i="8"/>
  <c r="CQ125" i="8"/>
  <c r="CQ86" i="8"/>
  <c r="CQ104" i="8"/>
  <c r="CQ135" i="8"/>
  <c r="CR49" i="8"/>
  <c r="CR82" i="8"/>
  <c r="CR144" i="8"/>
  <c r="CR77" i="8"/>
  <c r="CR98" i="8"/>
  <c r="CR115" i="8"/>
  <c r="CR174" i="8"/>
  <c r="CR114" i="8"/>
  <c r="CR67" i="8"/>
  <c r="CR96" i="8"/>
  <c r="CR165" i="8"/>
  <c r="CR110" i="8"/>
  <c r="CR129" i="8"/>
  <c r="CR124" i="8"/>
  <c r="CR150" i="8"/>
  <c r="CR64" i="8"/>
  <c r="CS160" i="8"/>
  <c r="CS110" i="8"/>
  <c r="CS85" i="8"/>
  <c r="CS111" i="8"/>
  <c r="CS98" i="8"/>
  <c r="CS148" i="8"/>
  <c r="CS52" i="8"/>
  <c r="CS130" i="8"/>
  <c r="CS152" i="8"/>
  <c r="CM177" i="8"/>
  <c r="CS154" i="8"/>
  <c r="CS112" i="8"/>
  <c r="CS165" i="8"/>
  <c r="CS163" i="8"/>
  <c r="CS142" i="8"/>
  <c r="CQ37" i="8"/>
  <c r="CS59" i="8"/>
  <c r="CS74" i="8"/>
  <c r="CS75" i="8" s="1"/>
  <c r="CQ91" i="8"/>
  <c r="CQ49" i="8"/>
  <c r="CQ124" i="8"/>
  <c r="CQ101" i="8"/>
  <c r="CQ115" i="8"/>
  <c r="CQ174" i="8"/>
  <c r="CQ154" i="8"/>
  <c r="CQ111" i="8"/>
  <c r="CQ71" i="8"/>
  <c r="CQ139" i="8"/>
  <c r="CQ105" i="8"/>
  <c r="CQ165" i="8"/>
  <c r="CQ169" i="8"/>
  <c r="CQ50" i="8"/>
  <c r="CQ81" i="8"/>
  <c r="CQ66" i="8"/>
  <c r="CR46" i="8"/>
  <c r="CR102" i="8"/>
  <c r="CR56" i="8"/>
  <c r="CR65" i="8"/>
  <c r="CR143" i="8"/>
  <c r="CR154" i="8"/>
  <c r="CR51" i="8"/>
  <c r="CR50" i="8"/>
  <c r="CR142" i="8"/>
  <c r="CR131" i="8"/>
  <c r="CR164" i="8"/>
  <c r="CR57" i="8"/>
  <c r="CR136" i="8"/>
  <c r="CR62" i="8"/>
  <c r="CR55" i="8"/>
  <c r="CR41" i="8"/>
  <c r="CS103" i="8"/>
  <c r="CS143" i="8"/>
  <c r="CS126" i="8"/>
  <c r="CS60" i="8"/>
  <c r="CS139" i="8"/>
  <c r="CS95" i="8"/>
  <c r="CS138" i="8"/>
  <c r="CS123" i="8"/>
  <c r="CS156" i="8"/>
  <c r="CS127" i="8"/>
  <c r="CS89" i="8"/>
  <c r="CS118" i="8"/>
  <c r="CS54" i="8"/>
  <c r="CS97" i="8"/>
  <c r="CX177" i="8"/>
  <c r="CS76" i="8"/>
  <c r="CQ46" i="8"/>
  <c r="CQ83" i="8"/>
  <c r="CQ70" i="8"/>
  <c r="CQ88" i="8"/>
  <c r="CQ129" i="8"/>
  <c r="CQ128" i="8"/>
  <c r="CQ142" i="8"/>
  <c r="CQ141" i="8"/>
  <c r="CQ42" i="8"/>
  <c r="CR47" i="8"/>
  <c r="CR171" i="8"/>
  <c r="CR163" i="8"/>
  <c r="CR97" i="8"/>
  <c r="CR123" i="8"/>
  <c r="CR89" i="8"/>
  <c r="CR130" i="8"/>
  <c r="CR81" i="8"/>
  <c r="CR94" i="8"/>
  <c r="CR170" i="8"/>
  <c r="CR104" i="8"/>
  <c r="CR39" i="8"/>
  <c r="CR93" i="8"/>
  <c r="CR156" i="8"/>
  <c r="CR38" i="8"/>
  <c r="CW177" i="8"/>
  <c r="CS96" i="8"/>
  <c r="CS113" i="8"/>
  <c r="CS94" i="8"/>
  <c r="CS48" i="8"/>
  <c r="CS84" i="8"/>
  <c r="CS122" i="8"/>
  <c r="CS104" i="8"/>
  <c r="CS81" i="8"/>
  <c r="CS38" i="8"/>
  <c r="CS125" i="8"/>
  <c r="CS56" i="8"/>
  <c r="CS151" i="8"/>
  <c r="CS82" i="8"/>
  <c r="CS80" i="8"/>
  <c r="CS99" i="8"/>
  <c r="CS37" i="8"/>
  <c r="CR167" i="8"/>
  <c r="CQ74" i="8"/>
  <c r="CQ75" i="8" s="1"/>
  <c r="CQ59" i="8"/>
  <c r="CQ116" i="8"/>
  <c r="CQ132" i="8"/>
  <c r="CQ92" i="8"/>
  <c r="CQ77" i="8"/>
  <c r="CQ137" i="8"/>
  <c r="CQ64" i="8"/>
  <c r="CQ53" i="8"/>
  <c r="CQ110" i="8"/>
  <c r="CQ67" i="8"/>
  <c r="CQ149" i="8"/>
  <c r="CQ44" i="8"/>
  <c r="CQ118" i="8"/>
  <c r="CQ41" i="8"/>
  <c r="CQ90" i="8"/>
  <c r="CR92" i="8"/>
  <c r="CR105" i="8"/>
  <c r="CR160" i="8"/>
  <c r="CR169" i="8"/>
  <c r="CR69" i="8"/>
  <c r="CR66" i="8"/>
  <c r="CL177" i="8"/>
  <c r="CR132" i="8"/>
  <c r="CR146" i="8"/>
  <c r="CR162" i="8"/>
  <c r="CR172" i="8"/>
  <c r="CR153" i="8"/>
  <c r="CR155" i="8"/>
  <c r="CR45" i="8"/>
  <c r="CR53" i="8"/>
  <c r="CR116" i="8"/>
  <c r="CS124" i="8"/>
  <c r="CS93" i="8"/>
  <c r="CS100" i="8"/>
  <c r="CS61" i="8"/>
  <c r="CS169" i="8"/>
  <c r="CS70" i="8"/>
  <c r="CS65" i="8"/>
  <c r="CS119" i="8"/>
  <c r="CS158" i="8"/>
  <c r="CS55" i="8"/>
  <c r="CS87" i="8"/>
  <c r="CS133" i="8"/>
  <c r="CS78" i="8"/>
  <c r="CS137" i="8"/>
  <c r="CS72" i="8"/>
  <c r="CR74" i="8"/>
  <c r="CR75" i="8" s="1"/>
  <c r="CR166" i="8" l="1"/>
  <c r="CR106" i="8"/>
  <c r="CQ106" i="8"/>
  <c r="CQ166" i="8"/>
  <c r="CS106" i="8"/>
  <c r="CS166" i="8"/>
  <c r="CR58" i="8"/>
  <c r="CS175" i="8"/>
  <c r="CQ58" i="8"/>
  <c r="CQ73" i="8"/>
  <c r="CR73" i="8"/>
  <c r="CQ175" i="8"/>
  <c r="CQ177" i="8" s="1"/>
  <c r="CR175" i="8"/>
  <c r="CS58" i="8"/>
  <c r="CS73" i="8"/>
  <c r="CH177" i="8"/>
  <c r="CI177" i="8"/>
  <c r="CP177" i="8"/>
  <c r="CR177" i="8" l="1"/>
  <c r="CS177" i="8"/>
</calcChain>
</file>

<file path=xl/comments1.xml><?xml version="1.0" encoding="utf-8"?>
<comments xmlns="http://schemas.openxmlformats.org/spreadsheetml/2006/main">
  <authors>
    <author>Maria Cristina do Rosario Ramim Kaiser</author>
  </authors>
  <commentList>
    <comment ref="C134" authorId="0" shapeId="0">
      <text>
        <r>
          <rPr>
            <b/>
            <sz val="9"/>
            <color indexed="81"/>
            <rFont val="Segoe UI"/>
            <family val="2"/>
          </rPr>
          <t>Maria Cristina do Rosario Ramim Kaiser:</t>
        </r>
        <r>
          <rPr>
            <sz val="9"/>
            <color indexed="81"/>
            <rFont val="Segoe UI"/>
            <family val="2"/>
          </rPr>
          <t xml:space="preserve">
Estes valores são primeiramente registrados como despesas administrativas e posteriormente transferidos para custos e despesas
comerciais;</t>
        </r>
      </text>
    </comment>
  </commentList>
</comments>
</file>

<file path=xl/comments2.xml><?xml version="1.0" encoding="utf-8"?>
<comments xmlns="http://schemas.openxmlformats.org/spreadsheetml/2006/main">
  <authors>
    <author>Marília Strapasson de Souza</author>
  </authors>
  <commentList>
    <comment ref="A57" authorId="0" shapeId="0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Glosar</t>
        </r>
      </text>
    </comment>
    <comment ref="A121" authorId="0" shapeId="0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Considerar fora do OPEX, pois são custos não gerenciáveis</t>
        </r>
      </text>
    </comment>
    <comment ref="C128" authorId="0" shapeId="0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Despesa financeira - tem que ser retirado</t>
        </r>
      </text>
    </comment>
  </commentList>
</comments>
</file>

<file path=xl/comments3.xml><?xml version="1.0" encoding="utf-8"?>
<comments xmlns="http://schemas.openxmlformats.org/spreadsheetml/2006/main">
  <authors>
    <author>Marília Strapasson de Souza</author>
  </authors>
  <commentList>
    <comment ref="G10" authorId="0" shapeId="0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Células destacadas em amarelo: valores dos últimos 3 meses foram projetados pela média dos 9 primeiros meses, uma vez que os dados da SANEPAR vieram só até set/2021.</t>
        </r>
      </text>
    </comment>
  </commentList>
</comments>
</file>

<file path=xl/comments4.xml><?xml version="1.0" encoding="utf-8"?>
<comments xmlns="http://schemas.openxmlformats.org/spreadsheetml/2006/main">
  <authors>
    <author>Marília Strapasson de Souza</author>
  </authors>
  <commentList>
    <comment ref="AH4" authorId="0" shapeId="0">
      <text>
        <r>
          <rPr>
            <b/>
            <sz val="9"/>
            <color indexed="81"/>
            <rFont val="Segoe UI"/>
            <family val="2"/>
          </rPr>
          <t>Marília Strapasson de Souza:</t>
        </r>
        <r>
          <rPr>
            <sz val="9"/>
            <color indexed="81"/>
            <rFont val="Segoe UI"/>
            <family val="2"/>
          </rPr>
          <t xml:space="preserve">
Menor valor entre o último ano (2020), a média e a mediana dos últimos 4 anos (2017-2020)</t>
        </r>
      </text>
    </comment>
  </commentList>
</comments>
</file>

<file path=xl/sharedStrings.xml><?xml version="1.0" encoding="utf-8"?>
<sst xmlns="http://schemas.openxmlformats.org/spreadsheetml/2006/main" count="2469" uniqueCount="724">
  <si>
    <t>Custos Operacionais regulatórios</t>
  </si>
  <si>
    <t>Descrição</t>
  </si>
  <si>
    <t>Pessoal</t>
  </si>
  <si>
    <t>Materiais Gerais</t>
  </si>
  <si>
    <t>Materiais de Tratamento</t>
  </si>
  <si>
    <t>Serviços de Terceiros</t>
  </si>
  <si>
    <t>Despesas Gerais</t>
  </si>
  <si>
    <t>Total</t>
  </si>
  <si>
    <t>Total (exclusive Pessoal)</t>
  </si>
  <si>
    <t>PESSOAL</t>
  </si>
  <si>
    <t>Projeções Driver (quantidades)</t>
  </si>
  <si>
    <t>Realizado</t>
  </si>
  <si>
    <t>Projeções</t>
  </si>
  <si>
    <t>FINALIDADE</t>
  </si>
  <si>
    <t>ETAPA</t>
  </si>
  <si>
    <t>DRIVER DE PROJEÇÃO</t>
  </si>
  <si>
    <t>Produção</t>
  </si>
  <si>
    <t>Volume Produzido de Água</t>
  </si>
  <si>
    <t>Energia</t>
  </si>
  <si>
    <t>Distribuição</t>
  </si>
  <si>
    <t>Ligações de Água</t>
  </si>
  <si>
    <t>Volume Medido de Água</t>
  </si>
  <si>
    <t>Coleta</t>
  </si>
  <si>
    <t>Ligações de Esgoto</t>
  </si>
  <si>
    <t>Volume Coletado de Esgoto</t>
  </si>
  <si>
    <t>Tratamento</t>
  </si>
  <si>
    <t>Volume Tratado de Esgoto</t>
  </si>
  <si>
    <t>Comerciais</t>
  </si>
  <si>
    <t>Adm Central</t>
  </si>
  <si>
    <t>Fixo</t>
  </si>
  <si>
    <t>Media 17/19</t>
  </si>
  <si>
    <t>Natureza</t>
  </si>
  <si>
    <t>Drivers de custeio</t>
  </si>
  <si>
    <t xml:space="preserve">Ligações de Água </t>
  </si>
  <si>
    <t xml:space="preserve">Ligações de esgoto </t>
  </si>
  <si>
    <t xml:space="preserve">Fixo </t>
  </si>
  <si>
    <t>Produção de Água</t>
  </si>
  <si>
    <t>Distribuição de Água</t>
  </si>
  <si>
    <t>Coleta de Esgoto</t>
  </si>
  <si>
    <t>Tratamento de Esgoto</t>
  </si>
  <si>
    <t>TOTAL</t>
  </si>
  <si>
    <t>IPCA</t>
  </si>
  <si>
    <t>Opex</t>
  </si>
  <si>
    <t>Valores sem glosa em R$ correntes</t>
  </si>
  <si>
    <t>Valores com glosa em R$ correntes</t>
  </si>
  <si>
    <t>Percentual de glosas</t>
  </si>
  <si>
    <t>Participação relativa</t>
  </si>
  <si>
    <t>Média do quadriênio</t>
  </si>
  <si>
    <t>Depreciação/Amortização</t>
  </si>
  <si>
    <t>Diferença</t>
  </si>
  <si>
    <t xml:space="preserve">Com Glosas </t>
  </si>
  <si>
    <t>Taxa de Crescimento</t>
  </si>
  <si>
    <t>Indice de Evolução Ano base 2017=100</t>
  </si>
  <si>
    <t>Cód Blcte</t>
  </si>
  <si>
    <t>Glosa Qualitativa</t>
  </si>
  <si>
    <t>Água</t>
  </si>
  <si>
    <t>Esgoto</t>
  </si>
  <si>
    <t>Comercial</t>
  </si>
  <si>
    <t>Adm</t>
  </si>
  <si>
    <t>Outros</t>
  </si>
  <si>
    <t>Média do quadriênio 17/20</t>
  </si>
  <si>
    <t>Média Biênio 19/20</t>
  </si>
  <si>
    <t>2017/2018</t>
  </si>
  <si>
    <t>2018/2019</t>
  </si>
  <si>
    <t>2019/2020</t>
  </si>
  <si>
    <t>2017/2020</t>
  </si>
  <si>
    <t>ORDENADOS E SALARIOS-H NORMAIS</t>
  </si>
  <si>
    <t>ORDENADOS E SALARIOS-H EXTRAS</t>
  </si>
  <si>
    <t>GRAT FUNCAO E CARGOS COMISSAO</t>
  </si>
  <si>
    <t>REMUNERACAO DE DIRETORES</t>
  </si>
  <si>
    <t>SOBREAVISO</t>
  </si>
  <si>
    <t>AJUDAS DE CUSTO</t>
  </si>
  <si>
    <t>LICENCA MAT E PATER INC FISCAL</t>
  </si>
  <si>
    <t>FERIAS E SUAS GRATIFICACOES</t>
  </si>
  <si>
    <t>ABONO DE FERIAS</t>
  </si>
  <si>
    <t>13 SALARIO</t>
  </si>
  <si>
    <t>PREVIDENCIA SOCIAL</t>
  </si>
  <si>
    <t>PROGRAMA INCENTIVO A EDUCACAO</t>
  </si>
  <si>
    <t>FGTS</t>
  </si>
  <si>
    <t>ASSISTENCIA MEDICA EMPREGADOS</t>
  </si>
  <si>
    <t>ABONO, INDENIZ E AVISOS PREVIOS</t>
  </si>
  <si>
    <t>ASSISTENCIA SOCIAL EMPREGADOS</t>
  </si>
  <si>
    <t>PROGR ALIMENTACAO TRABALHADOR</t>
  </si>
  <si>
    <t>FORMACAO PROF DE EMPREGADOS</t>
  </si>
  <si>
    <t>PREVIDENCIA PRIVADA</t>
  </si>
  <si>
    <t>VALE TRANSPORTE</t>
  </si>
  <si>
    <t>PPR</t>
  </si>
  <si>
    <t>PROGRAMA PARTICIPAÇÃO NOS RESULTADOS</t>
  </si>
  <si>
    <t>Sub total Pessoal</t>
  </si>
  <si>
    <t>MAT EXPEDIENTE, USO E CONSUMO</t>
  </si>
  <si>
    <t>MATERIAL DE OPER DE SISTEMAS</t>
  </si>
  <si>
    <t>MAT CONSERV E MANUT BENS ADMIN</t>
  </si>
  <si>
    <t>MATERIAL DE LIMPEZA E HIGIENE</t>
  </si>
  <si>
    <t>MATERIAL MANUT ELETROMECANICA</t>
  </si>
  <si>
    <t>MATERIAL DE LABORATORIO</t>
  </si>
  <si>
    <t>MATERIAL MANUT DE HIDROMETROS</t>
  </si>
  <si>
    <t>MATERIAL CORTES E RELIGACOES</t>
  </si>
  <si>
    <t>FERRAMENTAS PERECIVEIS</t>
  </si>
  <si>
    <t>MATERIAL DE MANUT DE VEICULOS</t>
  </si>
  <si>
    <t>COMBUSTIVEIS E LUBRIFICANTES</t>
  </si>
  <si>
    <t>MATERIAL NATUREZA PERMANENTE</t>
  </si>
  <si>
    <t>MAT SEGURANCA PROT E VESTUARIO</t>
  </si>
  <si>
    <t>MATERIAL MANUTENCAO DE REDES</t>
  </si>
  <si>
    <t>Sub Total Materiais Gerais</t>
  </si>
  <si>
    <t>MATERIAL DE TRATAMENTO</t>
  </si>
  <si>
    <t>Sub Total Mat de Tratamento</t>
  </si>
  <si>
    <t>SERV OPER MANUT PREDIAL SISTEM</t>
  </si>
  <si>
    <t>SERV CONS E MANUT DE BENS ADM</t>
  </si>
  <si>
    <t>SERVICOS DE LIMPEZA E HIGIENE</t>
  </si>
  <si>
    <t>SERV TECNICOS PROFISSIONAIS</t>
  </si>
  <si>
    <t>SERV DE PROCESSAMENTO DE DADOS</t>
  </si>
  <si>
    <t>SERV DE CADASTRO E FATURAMENTO</t>
  </si>
  <si>
    <t>SERV COMUNICACAO E TRANS DADOS</t>
  </si>
  <si>
    <t>SERVICOS DE VIGILANCIA</t>
  </si>
  <si>
    <t>FRETES E CARRETOS</t>
  </si>
  <si>
    <t>LOCACOES DE BENS MOVEIS</t>
  </si>
  <si>
    <t>ANUNCIOS E EDITAIS</t>
  </si>
  <si>
    <t>ENCARGOS SOCIAIS S/SERV TERC</t>
  </si>
  <si>
    <t>SERVICOS DE COBRANCA</t>
  </si>
  <si>
    <t>SERVICOS DE LABORATORIOS</t>
  </si>
  <si>
    <t>SERV GRAFICOS, COPIAS ENCADERN</t>
  </si>
  <si>
    <t>ESTAGIARIOS E CONTRATADOS</t>
  </si>
  <si>
    <t>ALUGUEL DE IMOVEIS E SERVIDOES</t>
  </si>
  <si>
    <t>TARIFAS BANCARIAS</t>
  </si>
  <si>
    <t>SERVICOS DE ARRECADACAO</t>
  </si>
  <si>
    <t>SERVICOS MANUT ELETROMECANICA</t>
  </si>
  <si>
    <t>SERVICOS DE MANUT DE VEICULOS</t>
  </si>
  <si>
    <t>SERV MOVIM,CARGA E DESC MAT</t>
  </si>
  <si>
    <t>SERV DESENV MANUT OPERACIONAL</t>
  </si>
  <si>
    <t>SERVICOS MANUTENCAO DE REDES</t>
  </si>
  <si>
    <t>SERV FOTOG PROD E GRAV AUDIOV</t>
  </si>
  <si>
    <t>SERVICOS TECNICOS OPERACIONAIS</t>
  </si>
  <si>
    <t>SERV REMOCAO RESIDUOS ESGOTO</t>
  </si>
  <si>
    <t>SERVICO ATENDIMENTO AO CLIENTE</t>
  </si>
  <si>
    <t>SERV MANUT UNID OPERAC DE AGUA</t>
  </si>
  <si>
    <t>SERV TRATAM DESTIN RES SOLIDOS</t>
  </si>
  <si>
    <t>SERV VEICULACAO, PUBLIC PROPAG</t>
  </si>
  <si>
    <t>SERV INTERNO DE ATENDIMENTO AO CLIENTE</t>
  </si>
  <si>
    <t>SERV UNIDADES REGIONAIS</t>
  </si>
  <si>
    <t>SERVICOS ELETROMECANICOS</t>
  </si>
  <si>
    <t>SERV INTERNO DE MANUTENCAO MEDIDORES</t>
  </si>
  <si>
    <t>SERVICOS DE PROJETOS E OBRAS</t>
  </si>
  <si>
    <t>SERV INTERNOS DE HIDROGEOLOGIA</t>
  </si>
  <si>
    <t>Sub Total Serviços de Terceiro</t>
  </si>
  <si>
    <t>ENERGIA ELÉTRICA</t>
  </si>
  <si>
    <t>Sub Total Energia</t>
  </si>
  <si>
    <t>DOACOES</t>
  </si>
  <si>
    <t>EXPOSICOES, CONGRESSOS EVENTOS</t>
  </si>
  <si>
    <t>APOIO INSTIT P DIVULG DA MARCA</t>
  </si>
  <si>
    <t>PREMIOS DE SEGUROS</t>
  </si>
  <si>
    <t>COBRANCA P/USO RECURSO HIDRICO</t>
  </si>
  <si>
    <t>PASEP</t>
  </si>
  <si>
    <t>COFINS</t>
  </si>
  <si>
    <t>IPTU</t>
  </si>
  <si>
    <t>IPVA</t>
  </si>
  <si>
    <t>TAXAS, ALVARAS E LICENCIAMENTO</t>
  </si>
  <si>
    <t>CONTRIBUICAO SINDICAL PATRONAL</t>
  </si>
  <si>
    <t>IOF</t>
  </si>
  <si>
    <t>TAXA DE REGULACAO</t>
  </si>
  <si>
    <t>IRPJ</t>
  </si>
  <si>
    <t>IMPOSTO DE RENDA</t>
  </si>
  <si>
    <t>CSLL</t>
  </si>
  <si>
    <t>CONTRIBUIÇÃO SOCIAL</t>
  </si>
  <si>
    <t>CONDUCOES, VIAGENS E ESTADAS</t>
  </si>
  <si>
    <t>LANCHES E REFEICOES</t>
  </si>
  <si>
    <t>ASSOCIACOES DE CLASSE</t>
  </si>
  <si>
    <t>LIVROS, JORNAIS E REVISTAS</t>
  </si>
  <si>
    <t>CUSTAS LEGAIS E JUDICIAIS</t>
  </si>
  <si>
    <t>DESPESAS COM CIPA</t>
  </si>
  <si>
    <t>PROTECAO E CONS MANANCIAIS</t>
  </si>
  <si>
    <t>FUNDOS MUN SANEAM E GESTAO AMB</t>
  </si>
  <si>
    <t>REMUNERACAO AGENTES GOVERNANCA</t>
  </si>
  <si>
    <t>PROG/CONV SOC,EDUC,AMB E PESQ</t>
  </si>
  <si>
    <t>PROGRAMA SANEPAR RURAL</t>
  </si>
  <si>
    <t>ORNAMENT, DECORAC E MAT PROMOC</t>
  </si>
  <si>
    <t>REPASSE PELA UTILIZ MANANCIAL</t>
  </si>
  <si>
    <t>PERDAS EVENTUAIS OU EXTRAORDIN</t>
  </si>
  <si>
    <t>PERDAS PELA N RECUPERAB ATIVOS</t>
  </si>
  <si>
    <t>RESULTADO NEG EQUIV PATRIMON</t>
  </si>
  <si>
    <t>TRA</t>
  </si>
  <si>
    <t>TRANSFÊRENCIA CUSTOS E DESPESAS COMERCIAIS</t>
  </si>
  <si>
    <t>INDENIZACOES DANOS A TERCEIROS</t>
  </si>
  <si>
    <t>INDENIZACOES TRAB A TERCEIROS</t>
  </si>
  <si>
    <t>MULTAS TRAB,CIVEIS E AMBIENT</t>
  </si>
  <si>
    <t>PERDAS NA REALIZ DE CREDITOS</t>
  </si>
  <si>
    <t>PROVISAO P PERDAS DE ESTOQUES</t>
  </si>
  <si>
    <t>PROVISOES FISCAIS E TRIBUT</t>
  </si>
  <si>
    <t>PROVISOES TRABALHISTAS</t>
  </si>
  <si>
    <t>PROVISOES CIVEIS</t>
  </si>
  <si>
    <t>PROVISOES AMBIENTAIS</t>
  </si>
  <si>
    <t>PROV P PLANOS SAUDE E PREVID</t>
  </si>
  <si>
    <t>33-313</t>
  </si>
  <si>
    <t>VENDAS DE MATERIAIS INSERVIVEIS</t>
  </si>
  <si>
    <t>BAIXAS DE ACOES E PARTIC PERM</t>
  </si>
  <si>
    <t>BAIXAS BENS IMOBILZ E INTANG</t>
  </si>
  <si>
    <t>BAIXAS DE MATER INSERVIVEIS</t>
  </si>
  <si>
    <t>BAIXAS DE POCOS IMPRODUTIVOS</t>
  </si>
  <si>
    <t>r) Despesas Capitalizadas (abertas em pessoal, materiais e Terceiros)</t>
  </si>
  <si>
    <t>Despesas Capitalizadas</t>
  </si>
  <si>
    <t>Sub Total  Despesas Gerais</t>
  </si>
  <si>
    <t>DEPRECIACOES</t>
  </si>
  <si>
    <t>AMORTIZACOES DO INTANGIVEL</t>
  </si>
  <si>
    <t>AMORT DIREITO USO ARRENDAMENTO</t>
  </si>
  <si>
    <t>AMORT GASTOS C/INSTALACOES</t>
  </si>
  <si>
    <t>AMORT GASTOS C/PROGRAMA INFORM</t>
  </si>
  <si>
    <t>AMORT GASTOS PROT PRES AMBIENT</t>
  </si>
  <si>
    <t>AMORT GASTOS DIR USO OPER SIST</t>
  </si>
  <si>
    <t>AMORT DO ATIVO FINANCEIRO-AVP</t>
  </si>
  <si>
    <t>Sub Total  Depreciação/Amortização</t>
  </si>
  <si>
    <t>Total OPEX</t>
  </si>
  <si>
    <t>até 09/2021</t>
  </si>
  <si>
    <t>a) Custos de pessoal (salário e outros benefícios) e o número de empregados próprios;</t>
  </si>
  <si>
    <t>Despesa</t>
  </si>
  <si>
    <t>Classificação</t>
  </si>
  <si>
    <t>Total Água</t>
  </si>
  <si>
    <t>Blcte por conta análise</t>
  </si>
  <si>
    <t>Total Esgoto</t>
  </si>
  <si>
    <t>Administrativa</t>
  </si>
  <si>
    <t>Blcte por conta análise - Conta 43</t>
  </si>
  <si>
    <t>Blcte por conta análise - Conta 44</t>
  </si>
  <si>
    <t>Blcte por conta análise - Conta 45</t>
  </si>
  <si>
    <t>Blcte por conta análise - Conta 46</t>
  </si>
  <si>
    <t>Blcte por conta análise - Conta 47</t>
  </si>
  <si>
    <t>Blcte por conta análise - Conta 48</t>
  </si>
  <si>
    <t>Blcte por conta análise - Conta 49</t>
  </si>
  <si>
    <t>Salários</t>
  </si>
  <si>
    <t>Outros Benefícios</t>
  </si>
  <si>
    <t>b) Custos com material de tratamento (por serviço, água  esgoto);</t>
  </si>
  <si>
    <t>c) Custos com energia elétrica;</t>
  </si>
  <si>
    <t>d) Custos com outros materiais;</t>
  </si>
  <si>
    <t>e) Custos com serviços de terceiros;</t>
  </si>
  <si>
    <t>f) Custos com propaganda e marketing;</t>
  </si>
  <si>
    <t>g) Custos com apoio institucional, patrocínios e doações;</t>
  </si>
  <si>
    <t>h) custos com seguros;</t>
  </si>
  <si>
    <t>i) Custos para uso dos recursos hídricos (outorgas)</t>
  </si>
  <si>
    <t>j) Custos tributários, separar PASEP/COFINS, Taxa de Regulação e outros tributos/impostos/taxas;</t>
  </si>
  <si>
    <t>k) Outros Custos;</t>
  </si>
  <si>
    <t>m) Depreciação e amortização (societária - DRE)</t>
  </si>
  <si>
    <t>n) Custos com indenização de terceiros, trabalhistas, ambientais;</t>
  </si>
  <si>
    <t>o) Custos com multas, TACs, compensações ambientais;</t>
  </si>
  <si>
    <t>p) inadimplência - PDD - Inadimplência real;</t>
  </si>
  <si>
    <t>q) Provisões (exceto PDD);</t>
  </si>
  <si>
    <t>MATERIAIS</t>
  </si>
  <si>
    <t>TERCEIROS</t>
  </si>
  <si>
    <t>s) Outras despesas e receitas operacionais (baixas e vendas de ativos)</t>
  </si>
  <si>
    <t>Auxiliar OPEX Custo Unitário</t>
  </si>
  <si>
    <t>Drivers (quantidades)</t>
  </si>
  <si>
    <t>Mediana 17/19</t>
  </si>
  <si>
    <t xml:space="preserve"> Valor Utilizado</t>
  </si>
  <si>
    <t>Média 17/19</t>
  </si>
  <si>
    <t>Custo Unitário</t>
  </si>
  <si>
    <t>Valores a preços de dez/2020</t>
  </si>
  <si>
    <t>Mediana do quadriênio 17/20</t>
  </si>
  <si>
    <t>Mediana do quadriênio</t>
  </si>
  <si>
    <t>Com Glosa Valores Constantes a preço de dez/20</t>
  </si>
  <si>
    <t>Valores sem glosa em R$ constantes de dez/20</t>
  </si>
  <si>
    <t>OPEX sem glosa (R$ constantes a preço de dez/2020)</t>
  </si>
  <si>
    <t>OPEX com glosa (R$ constantes a preço de dez/2020)</t>
  </si>
  <si>
    <t>Media 17/20</t>
  </si>
  <si>
    <t>Mediana 17/20</t>
  </si>
  <si>
    <t>Custo Unitário (R$ constantes a preços de dez de 2020/quantidades)</t>
  </si>
  <si>
    <t>SANEPAR</t>
  </si>
  <si>
    <t>Volume Medido de Água (m³)</t>
  </si>
  <si>
    <t>Volume Coletado de Esgoto (m³)</t>
  </si>
  <si>
    <t>Volume Produzido de Água (m³)</t>
  </si>
  <si>
    <t>Volume Tratado de Esgoto (m³)</t>
  </si>
  <si>
    <t>Média 17/20</t>
  </si>
  <si>
    <t>Referência de Projeção</t>
  </si>
  <si>
    <t>Projeções OPEX (Valores em R$ constantes a preço de dez/2020)</t>
  </si>
  <si>
    <t>valores em R$ constantes a preço de dez/2020</t>
  </si>
  <si>
    <t>QUANTIDADE DE ENERGIA (MWH)</t>
  </si>
  <si>
    <t>PREÇO MÉDIO DA ENERGIA (R$/MWH)</t>
  </si>
  <si>
    <t>Energia (quant MWH)</t>
  </si>
  <si>
    <t>MWH/quantidade</t>
  </si>
  <si>
    <t>Energia (quantidade - MWH)</t>
  </si>
  <si>
    <t>Custo total com Energia no Ano</t>
  </si>
  <si>
    <t>Custo Unitário (R$/MWH)</t>
  </si>
  <si>
    <t>OPEX Energia</t>
  </si>
  <si>
    <t>Glosa Média do Quadriênio 17/20</t>
  </si>
  <si>
    <t>Administrativo</t>
  </si>
  <si>
    <t>Contrato Leasing Litoral (Jan/2021 até Dez/2024)</t>
  </si>
  <si>
    <t>Ref.</t>
  </si>
  <si>
    <t>Amortização(at)</t>
  </si>
  <si>
    <t>Juros(jt)</t>
  </si>
  <si>
    <t>Prestação(rt)</t>
  </si>
  <si>
    <t>Data início 10/2013 Data Final 12/2036 (considerando aditivos contratuais)</t>
  </si>
  <si>
    <t>Aniversário do Contrato: 31/07</t>
  </si>
  <si>
    <t>Valores entre 01/2021 até 03/2022 - São realizados</t>
  </si>
  <si>
    <t>Valores entre 04/2022 até 12/2024 - São projetados sem atualização</t>
  </si>
  <si>
    <t>Índice de Correção IPC/Fipe</t>
  </si>
  <si>
    <t>Ano</t>
  </si>
  <si>
    <t>Valor Projetado</t>
  </si>
  <si>
    <t>CONTRATO</t>
  </si>
  <si>
    <t>OS/OFM</t>
  </si>
  <si>
    <t>TIPO</t>
  </si>
  <si>
    <t>ADITIVO</t>
  </si>
  <si>
    <t xml:space="preserve">REC. </t>
  </si>
  <si>
    <t xml:space="preserve">LOCALIDADE </t>
  </si>
  <si>
    <t xml:space="preserve">CPF/CNPJ      </t>
  </si>
  <si>
    <t xml:space="preserve">RAZAO SOCIAL/NOME DO CREDOR    </t>
  </si>
  <si>
    <t xml:space="preserve">OBJETO DO CONTRATO                                            </t>
  </si>
  <si>
    <t>VR CONTRATO</t>
  </si>
  <si>
    <t>INIC.EXEC.</t>
  </si>
  <si>
    <t>TERM.EXEC.</t>
  </si>
  <si>
    <t>TEMPO</t>
  </si>
  <si>
    <t>PASSIVEIS DE RENOVAÇÃO</t>
  </si>
  <si>
    <t>GERÊNCIA</t>
  </si>
  <si>
    <t>até 03/2022</t>
  </si>
  <si>
    <t>Obs.:</t>
  </si>
  <si>
    <t>29360</t>
  </si>
  <si>
    <t xml:space="preserve">Original   </t>
  </si>
  <si>
    <t xml:space="preserve">CURITIBA   </t>
  </si>
  <si>
    <t xml:space="preserve">COM TECH INFORMATICA LTDA      </t>
  </si>
  <si>
    <t xml:space="preserve">SERV DE LOCACAO DE MICROCOMPUTADORES                          </t>
  </si>
  <si>
    <t>NÃO</t>
  </si>
  <si>
    <t>GTIN</t>
  </si>
  <si>
    <t>Original</t>
  </si>
  <si>
    <t>R$ 8.400.000,00</t>
  </si>
  <si>
    <t>Reajuste</t>
  </si>
  <si>
    <t>R$ 243.456,16</t>
  </si>
  <si>
    <t>Complemento</t>
  </si>
  <si>
    <t>R$ 1.254.393,90</t>
  </si>
  <si>
    <t>R$ 193.579,42</t>
  </si>
  <si>
    <t>R$ 41.018,68</t>
  </si>
  <si>
    <t>R$ 167.214,00</t>
  </si>
  <si>
    <t>R$ 45.941,01</t>
  </si>
  <si>
    <t>Renovação</t>
  </si>
  <si>
    <t>R$ 2.715.980,80</t>
  </si>
  <si>
    <t>R$ 88.812,57</t>
  </si>
  <si>
    <t>R$ 120.861,14</t>
  </si>
  <si>
    <t>45349</t>
  </si>
  <si>
    <t>31272</t>
  </si>
  <si>
    <t xml:space="preserve">MGITECH COM.IMP.E EXPORT.     </t>
  </si>
  <si>
    <t xml:space="preserve">SERV LOCACAO DE TABLETS                                       </t>
  </si>
  <si>
    <t>SIM</t>
  </si>
  <si>
    <t>R$ 2.608.848,00</t>
  </si>
  <si>
    <t>R$ 2.250.072,00</t>
  </si>
  <si>
    <t>44495</t>
  </si>
  <si>
    <t xml:space="preserve">POSITIVO INFORMATICA LTDA      </t>
  </si>
  <si>
    <t xml:space="preserve">SERV LOCACAO DE NOTEBOOKS                                     </t>
  </si>
  <si>
    <t>R$ 11.909.975,00</t>
  </si>
  <si>
    <t>45412</t>
  </si>
  <si>
    <t xml:space="preserve">TECPRINTERS TEC DE IMPR LTDA   </t>
  </si>
  <si>
    <t xml:space="preserve">SERV SOLUCAO DE IMPRESSAO, COPIA E DIGITALIZAÇÃO                      </t>
  </si>
  <si>
    <t xml:space="preserve">OF </t>
  </si>
  <si>
    <t xml:space="preserve">N   </t>
  </si>
  <si>
    <t xml:space="preserve">APUCARANA  </t>
  </si>
  <si>
    <t xml:space="preserve">EMPREEND RURAIS MAUA LTDA      </t>
  </si>
  <si>
    <t xml:space="preserve">CONTRATACAO DE LOCACAO DE IMOVEL COM 424,68M DE AREA PARA A   </t>
  </si>
  <si>
    <t>GGPINF</t>
  </si>
  <si>
    <t xml:space="preserve">ARAPONGAS  </t>
  </si>
  <si>
    <t xml:space="preserve">JOAO MENEGON                   </t>
  </si>
  <si>
    <t xml:space="preserve">ATENDIMENTO CLIENTES, COORD. COMERCIAL GCND, R. CONDOR 916    </t>
  </si>
  <si>
    <t xml:space="preserve">C   </t>
  </si>
  <si>
    <t xml:space="preserve">JOAO POLISELI DE SA            </t>
  </si>
  <si>
    <t xml:space="preserve">LOCACAO IMOVEL R. DRONGO 966   GERNCIA   GRAR                 </t>
  </si>
  <si>
    <t xml:space="preserve">ARAUCARIA  </t>
  </si>
  <si>
    <t xml:space="preserve">SILVERIO JOAO GAVLETA          </t>
  </si>
  <si>
    <t xml:space="preserve">LOCACAO BARRACAO ARAUCARIA GRCTS                              </t>
  </si>
  <si>
    <t xml:space="preserve">O   </t>
  </si>
  <si>
    <t xml:space="preserve">BELA VISTA </t>
  </si>
  <si>
    <t xml:space="preserve">APARECIDA DE CARVALHO PONTELLO </t>
  </si>
  <si>
    <t xml:space="preserve">LOCACAO DE IMOVEL NA RUA TEREZINHA SALOMAO DE ARAUJO, N 367   </t>
  </si>
  <si>
    <t xml:space="preserve">BRAGANEY   </t>
  </si>
  <si>
    <t xml:space="preserve">DALVINO MANFE                  </t>
  </si>
  <si>
    <t xml:space="preserve">CONTRATO DE LOCACAO DE IMOVEL EM BARAGANEY                    </t>
  </si>
  <si>
    <t xml:space="preserve">LOCACAO IMOVEL EM BRAGANEY                                    </t>
  </si>
  <si>
    <t xml:space="preserve">BRASILANDI </t>
  </si>
  <si>
    <t xml:space="preserve">TANIA APARECIDA DE S. DA SILVA </t>
  </si>
  <si>
    <t xml:space="preserve">LOCACAO DE IMOVEL PARA ATEND PUBLICO BRASILANDIA              </t>
  </si>
  <si>
    <t xml:space="preserve">CAMPINA GR </t>
  </si>
  <si>
    <t xml:space="preserve">SIRLENE DE FATIMA POLLI PEREIR </t>
  </si>
  <si>
    <t xml:space="preserve">LOCACAO DE IMOVEL UTILIZADO COMO ATENDIMENTO AO CLIENTE       </t>
  </si>
  <si>
    <t xml:space="preserve">CAMPO LARG </t>
  </si>
  <si>
    <t xml:space="preserve">GLACI TEREZINHA BASSANI COELHO </t>
  </si>
  <si>
    <t xml:space="preserve">RENOVACAO DO CONTRATO DE LOCACAO 30.596                       </t>
  </si>
  <si>
    <t xml:space="preserve">SAO FRANCISCO ADM.IMOVEIS LTDA </t>
  </si>
  <si>
    <t xml:space="preserve">LOCACAO IMOVEL ENVASE                                         </t>
  </si>
  <si>
    <t xml:space="preserve">CAPANEMA   </t>
  </si>
  <si>
    <t xml:space="preserve">INICI MARLENE FRANCISCATTO     </t>
  </si>
  <si>
    <t xml:space="preserve">LOCACAO DE UMA SALA COMERCIAL PARA ATENDIMENTO AOS CLIENTES   </t>
  </si>
  <si>
    <t xml:space="preserve">CASCAVEL   </t>
  </si>
  <si>
    <t xml:space="preserve">DATTA DIST. PECAS ACESS.AGRICO </t>
  </si>
  <si>
    <t xml:space="preserve">RENOVACAO CONTRATO DE LOCACAO ESTACIONAM VEICULOS DA SANEPA   </t>
  </si>
  <si>
    <t xml:space="preserve">R   </t>
  </si>
  <si>
    <t xml:space="preserve">FUNDACAO SANEPAR FUSAN         </t>
  </si>
  <si>
    <t xml:space="preserve">LOCACAO DAS SALAS ADMINISTRATIVAS DO ED. FUSAN EM CASCAVEL    </t>
  </si>
  <si>
    <t xml:space="preserve">LOCACAO DAS SALAS ADMINISTRATIVAS DO ED. FUSAN EM CASCAVEL P  </t>
  </si>
  <si>
    <t xml:space="preserve">FURGOES TOLEDO LTDA            </t>
  </si>
  <si>
    <t xml:space="preserve">LOCACAO DE 01  HUM  CONTEINER 40 PES STANDARD 40  X 8  X8  6  </t>
  </si>
  <si>
    <t xml:space="preserve">GUSTAVO VILLA NOVA DA ROCHA    </t>
  </si>
  <si>
    <t xml:space="preserve">CONTRATO DE ALUGUEL ESTACIONAMENTO 7 DE SETEMBRO              </t>
  </si>
  <si>
    <t xml:space="preserve">L F SILVESTRO TRANSPORTES LTDA </t>
  </si>
  <si>
    <t xml:space="preserve">LOCACAO DE CAMINHAO TIPO MUNCK PARA USO NO AMBITO DA GERENCI  </t>
  </si>
  <si>
    <t xml:space="preserve">NEVACOR ADM. PART. INCORP.LTDA </t>
  </si>
  <si>
    <t xml:space="preserve">RENOVACAO CONTRATO ALUGUEL IMOVEL AV. TANCREDO NEVES 1723     </t>
  </si>
  <si>
    <t xml:space="preserve">PEGORARO ADMINISTRACAO         </t>
  </si>
  <si>
    <t xml:space="preserve">CONTRATO DE LOCACAO DE IMOVEL ATENDIM. REGIAO NORTE           </t>
  </si>
  <si>
    <t xml:space="preserve">COLOMBO    </t>
  </si>
  <si>
    <t xml:space="preserve">LAZAROTTO IMOVEIS LTD/ANTONIO ADEVIR RISSARDI E OUTRA   </t>
  </si>
  <si>
    <t xml:space="preserve">LOCACAO DE IMOVEL A SER UTILIZADO COMO ESCRITORIO PARA AS     </t>
  </si>
  <si>
    <t xml:space="preserve">NIVALDO STRAPASSON             </t>
  </si>
  <si>
    <t xml:space="preserve">LOCACAO DE IMOVEL A SER UTILIZADO COMO BASE OPERACIONAL       </t>
  </si>
  <si>
    <t xml:space="preserve">POLIANA STRAPASSON             </t>
  </si>
  <si>
    <t xml:space="preserve">LOCACAO DE IMOVEL A SER UTILZADO COMO ESCRITORIO ATENDIMENT   </t>
  </si>
  <si>
    <t>292149/2018</t>
  </si>
  <si>
    <t>CPS</t>
  </si>
  <si>
    <t xml:space="preserve">CORONEL DO </t>
  </si>
  <si>
    <t xml:space="preserve">ADAO FERMINO DE MATOS NUNES    </t>
  </si>
  <si>
    <t xml:space="preserve">LOCACAO DE IMOVEL COMERCIAL PARA O SISTEMA DE CORONEL DOMIN   </t>
  </si>
  <si>
    <t xml:space="preserve">CORUMBATAI </t>
  </si>
  <si>
    <t xml:space="preserve">RENATO CAJUELA MORALES         </t>
  </si>
  <si>
    <t xml:space="preserve">LOCACAO DE IMOVEL PARA SER UTILIZADO PELA SANEPAR COMO ESCRI  </t>
  </si>
  <si>
    <t>348525</t>
  </si>
  <si>
    <t xml:space="preserve">AFA LOCACOES LTDA              </t>
  </si>
  <si>
    <t xml:space="preserve">LOCACAO DE CONTAINER PADRAO ESCRITORIO ALMOXARIFADO PARA O D  </t>
  </si>
  <si>
    <t>360458</t>
  </si>
  <si>
    <t>SENGES</t>
  </si>
  <si>
    <t>DAMARIS DIB JORGE DUTRA</t>
  </si>
  <si>
    <t>Locação de Imovel com estrutura de Atendimento</t>
  </si>
  <si>
    <t>PEROBAL</t>
  </si>
  <si>
    <t>ANTONIO MIGUEL ARCANJO</t>
  </si>
  <si>
    <t>Contrato de Locação de Imovel sala comercial Sistema Perobal</t>
  </si>
  <si>
    <t xml:space="preserve">COTRANS LOC.DE VEICULOS LTDA   </t>
  </si>
  <si>
    <t xml:space="preserve">SERV LOCACAO VEICULOS                                         </t>
  </si>
  <si>
    <t>Valores projetados conforme pesquisa de mercado em 2022</t>
  </si>
  <si>
    <t xml:space="preserve">CS BRASIL FROTAS LTDA          </t>
  </si>
  <si>
    <t xml:space="preserve">SERV DE LOCACAO DE VEICULOS                                   </t>
  </si>
  <si>
    <t xml:space="preserve">CA </t>
  </si>
  <si>
    <t xml:space="preserve">SERV. DE LOCACAO DE VEICULOS                                  </t>
  </si>
  <si>
    <t>280038/2017</t>
  </si>
  <si>
    <t xml:space="preserve">MOB PROMOCAO DE VENDAS         </t>
  </si>
  <si>
    <t xml:space="preserve">LOCACAO DE BARRACAO PARA ARMAZENAMENTO DE EQUIPAMENTOS ELET   </t>
  </si>
  <si>
    <t>314007/2019</t>
  </si>
  <si>
    <t xml:space="preserve">OS </t>
  </si>
  <si>
    <t xml:space="preserve">URBS URBANIZACAO DE CTBA.S A   </t>
  </si>
  <si>
    <t xml:space="preserve">ALUGUEL CIDADANIA DO FAZENDINHA   PERMISSAO DE USO            </t>
  </si>
  <si>
    <t>317205/2019</t>
  </si>
  <si>
    <t xml:space="preserve">ATEND.CID.TATUQAURA LJ.02 03 COM 23,74M2 E 20,58M2            </t>
  </si>
  <si>
    <t>49/2019</t>
  </si>
  <si>
    <t xml:space="preserve">CL </t>
  </si>
  <si>
    <t xml:space="preserve">LOC.ESP.INST.TOTEM TERM.AUTOATENDIMENTO PUB.TERM.CENTENARIO   </t>
  </si>
  <si>
    <t xml:space="preserve">LOCACAO IMOVEL ATEND CARMO  GCML                              </t>
  </si>
  <si>
    <t xml:space="preserve">LOCACAO IMOVEL ATENDIMENTO CIDADANIA MATRIZ PC RUI BARBOSA    </t>
  </si>
  <si>
    <t xml:space="preserve">LOCACAO IMOVEL ATENDIMENTO RUA DA CIDADANIA DO CAJURU         </t>
  </si>
  <si>
    <t>306398/2018</t>
  </si>
  <si>
    <t xml:space="preserve">PERMISSAO DE USO RUA DA CIDADANIA SANTA FELICIDADE            </t>
  </si>
  <si>
    <t>295428/2018</t>
  </si>
  <si>
    <t xml:space="preserve">POSTO AVANCADO ATENDIMENTO PUBLICO CID. PINHERINHO            </t>
  </si>
  <si>
    <t xml:space="preserve">POSTO AVANCADO ATENDIMENTO PUBLICO CIDADANIA TATUQUARA        </t>
  </si>
  <si>
    <t xml:space="preserve">POSTO AVANCADOATENDIMENTO PUBLICO CIDADANIA PINHEIRINHO       </t>
  </si>
  <si>
    <t xml:space="preserve">TERMO DE OUTORGA PERMISSAO DE USO 76 2000 CIDADANIA B VISTA   </t>
  </si>
  <si>
    <t xml:space="preserve">TERMO OUTORGA DE PERMISSAO DE USO   CIDADANIA FAZENDINHA      </t>
  </si>
  <si>
    <t>279475/2017</t>
  </si>
  <si>
    <t xml:space="preserve">DOUTOR ANT </t>
  </si>
  <si>
    <t xml:space="preserve">ALIRIO SEBASTIAO GESSER        </t>
  </si>
  <si>
    <t xml:space="preserve">LOCACAO DE SALA COMERCIAL PARA O DISTRITO DE ANTONIO PARANH   </t>
  </si>
  <si>
    <t xml:space="preserve">ESPERANCA  </t>
  </si>
  <si>
    <t xml:space="preserve">JOAQUIM JOSE DA SILVA          </t>
  </si>
  <si>
    <t xml:space="preserve">LOCACAO DE IMOVEL PARA ATENDIMENTO DE ESPERANCA NOVA          </t>
  </si>
  <si>
    <t xml:space="preserve">ESPIGAO AL </t>
  </si>
  <si>
    <t xml:space="preserve">DIONISIO CASAGRANDE            </t>
  </si>
  <si>
    <t xml:space="preserve">LOCACAO DE SALA COMERCIAL PARA ATENDIMENTO AO CLIENTE         </t>
  </si>
  <si>
    <t xml:space="preserve">FAROL      </t>
  </si>
  <si>
    <t xml:space="preserve">PAULO PINTO RIBEIRO            </t>
  </si>
  <si>
    <t xml:space="preserve">PRORROG PRAZO LOC IMOV UTIL SANEPAR ESCRITORIO ATEND ALMOX    </t>
  </si>
  <si>
    <t xml:space="preserve">FAZENDA RI </t>
  </si>
  <si>
    <t xml:space="preserve">ANTONIO TADEU NICHELE          </t>
  </si>
  <si>
    <t xml:space="preserve">LOCACAO BARRACAO COMERCIAL COM 591M2                          </t>
  </si>
  <si>
    <t xml:space="preserve">FOZ DO IGU </t>
  </si>
  <si>
    <t xml:space="preserve">ITAIPU BINACIONAL              </t>
  </si>
  <si>
    <t xml:space="preserve">PRIMEIRO TERMO ADITIVO AO CONTRATO JD JE 0048 20              </t>
  </si>
  <si>
    <t xml:space="preserve">REAJUSTE DO CONTRATO JD JE 0048 20 REF. JAN 2021 A JUN 2021   </t>
  </si>
  <si>
    <t xml:space="preserve">TA </t>
  </si>
  <si>
    <t xml:space="preserve">OMAR DE OLIVEIRA JR E CIA LTDA </t>
  </si>
  <si>
    <t xml:space="preserve">QUARTO TERMO ADITIVO DO CONTRATO 1088572                      </t>
  </si>
  <si>
    <t xml:space="preserve">FRANCISCO  </t>
  </si>
  <si>
    <t xml:space="preserve">DALPUBEL EMPREEND.IMOBILIARIOS </t>
  </si>
  <si>
    <t xml:space="preserve">1 TERMO ADITIVO AO CONTRATO DE LOCACAO 30103 2018 SEDE        </t>
  </si>
  <si>
    <t xml:space="preserve">N.J. MARASCHIN   CIA LTDA      </t>
  </si>
  <si>
    <t xml:space="preserve">LOCACAO DE IMOVEL PARA A COORDENACAO DE REDES                 </t>
  </si>
  <si>
    <t xml:space="preserve">GOIOXIM    </t>
  </si>
  <si>
    <t xml:space="preserve">PEDRO NAUMIUK                  </t>
  </si>
  <si>
    <t xml:space="preserve">LOCACAO DE SALA COMERCIAL ATENDIMENTO AO CLIENTE GOIOXIM      </t>
  </si>
  <si>
    <t xml:space="preserve">GUAPIRAMA  </t>
  </si>
  <si>
    <t xml:space="preserve">BENJAMIM VILAS BOAS            </t>
  </si>
  <si>
    <t xml:space="preserve">LOCACAO DE SALA COMERCIAL COM BANHEIRO E ACESSIBILIDADE       </t>
  </si>
  <si>
    <t xml:space="preserve">IBEMA      </t>
  </si>
  <si>
    <t xml:space="preserve">ELCIO LUIZ ZANATTA             </t>
  </si>
  <si>
    <t xml:space="preserve">ALUGUEL ESCRITORIO ATENDIMENTO IBEMA                          </t>
  </si>
  <si>
    <t xml:space="preserve">IGUATU     </t>
  </si>
  <si>
    <t xml:space="preserve">GUILHERME PANTANO JUNIOR       </t>
  </si>
  <si>
    <t xml:space="preserve">CONTRATO DE LOCACAO DE IMOVEL EM IGUATU                       </t>
  </si>
  <si>
    <t xml:space="preserve">INACIO MAR </t>
  </si>
  <si>
    <t xml:space="preserve">GILNELSON JOSE GOMES DE OLIVEI </t>
  </si>
  <si>
    <t xml:space="preserve">LOCACAO IMOVEL PARA CENTRAL DE RELACIONAMENTO                 </t>
  </si>
  <si>
    <t xml:space="preserve">IRATI      </t>
  </si>
  <si>
    <t xml:space="preserve">ANTONIO FRANCISCO DA SILVA     </t>
  </si>
  <si>
    <t xml:space="preserve">LOCACAO DE IMOVEL PARA ATIVIDADES DO ESCRITORIO ADMINISTRAT   </t>
  </si>
  <si>
    <t xml:space="preserve">ITAIPULAND </t>
  </si>
  <si>
    <t xml:space="preserve">HUGO FOLLMANN                  </t>
  </si>
  <si>
    <t xml:space="preserve">1O. TA DO CLI 36774                                           </t>
  </si>
  <si>
    <t xml:space="preserve">IVATE      </t>
  </si>
  <si>
    <t xml:space="preserve">DANILO ANTONIETTI PASCOTTO     </t>
  </si>
  <si>
    <t xml:space="preserve">LOCACAO DE IMOVEL                                             </t>
  </si>
  <si>
    <t>301546/2018</t>
  </si>
  <si>
    <t xml:space="preserve">JANDAIA DO </t>
  </si>
  <si>
    <t xml:space="preserve">HERMINIO VINHOLI               </t>
  </si>
  <si>
    <t xml:space="preserve">LOCACAO DE AREA RURAL MEDINDO 10.408,70 M PARA EXPLORACAO DE  </t>
  </si>
  <si>
    <t xml:space="preserve">LARANJAL   </t>
  </si>
  <si>
    <t xml:space="preserve">SONIA M. RODRIGUES DOS SANTOS  </t>
  </si>
  <si>
    <t xml:space="preserve">LOCACAO SALA COMERCIAL PARA ATENDIMENTO AO CLIENTE            </t>
  </si>
  <si>
    <t xml:space="preserve">LINDOESTE  </t>
  </si>
  <si>
    <t xml:space="preserve">JUAREZ JACO SCHUCK             </t>
  </si>
  <si>
    <t xml:space="preserve">CONTRATO DE ALUGUEL ESCRITORIO LINDOESTE                      </t>
  </si>
  <si>
    <t xml:space="preserve">LONDRINA   </t>
  </si>
  <si>
    <t xml:space="preserve">BUS ADM E PARTICIPACAO LTDA    </t>
  </si>
  <si>
    <t xml:space="preserve">PRIMEIRO TERMO ADITIVO PARA OS 305254, LOCACAO SEDE GEMND     </t>
  </si>
  <si>
    <t>301627/2018</t>
  </si>
  <si>
    <t xml:space="preserve">MAICON RODRIGO DA SILVA        </t>
  </si>
  <si>
    <t xml:space="preserve">LOCACAO DE IMOVEL NA AVENIDA SAUL ELKIND, 3341 LOJA 01, PAR   </t>
  </si>
  <si>
    <t xml:space="preserve">SUNRISE ADM E PARTIC SOCIAIS   </t>
  </si>
  <si>
    <t xml:space="preserve">CONTRATACAO DE LOCACAO DE IMOVEL PARA UTILIZACAO DA ESTRUTU   </t>
  </si>
  <si>
    <t xml:space="preserve">TRANSBIL T E ENTREGAS LTDA EPP </t>
  </si>
  <si>
    <t xml:space="preserve">CONTRATO DE LOCACAO DO CD LONDRINA                            </t>
  </si>
  <si>
    <t xml:space="preserve">MALLET     </t>
  </si>
  <si>
    <t xml:space="preserve">MARIA DE LOURDES ROLINSKI      </t>
  </si>
  <si>
    <t xml:space="preserve">LOCACAO DE IMOVEL PARA ATENDIMENTO AO CLIENTE EM MALLET       </t>
  </si>
  <si>
    <t xml:space="preserve">MANGUEIRIN </t>
  </si>
  <si>
    <t xml:space="preserve">MIGUEL CONTE                   </t>
  </si>
  <si>
    <t xml:space="preserve">LOCACAO DE IMOVEL COMERCIAL PARA ATENDIMENTO AO PUBLICO       </t>
  </si>
  <si>
    <t xml:space="preserve">MARINGA    </t>
  </si>
  <si>
    <t xml:space="preserve">AQUEDEMIR PASTRELO             </t>
  </si>
  <si>
    <t xml:space="preserve">LOCACAO DE IMOVEL ATENDIMENTO PERSONALIZADO                   </t>
  </si>
  <si>
    <t xml:space="preserve">DEOLINDA MARIA RAVANELI        </t>
  </si>
  <si>
    <t xml:space="preserve">LOCACAO DE 280M2 DE SALAS P  ATENDER COOR. AGUA E ESGOTO      </t>
  </si>
  <si>
    <t xml:space="preserve">IMPERIO ADMINIST. DE BENS LTDA </t>
  </si>
  <si>
    <t xml:space="preserve">LOCACAO DE IMOVEL PARA A SEDE DA GEMNO                        </t>
  </si>
  <si>
    <t xml:space="preserve">RIO PRETO ADMIN.BENS LTDA      </t>
  </si>
  <si>
    <t xml:space="preserve">RENOVACAO DE PRAZO TERCEIRO TA DO CL 1112673 2017             </t>
  </si>
  <si>
    <t xml:space="preserve">MARIOPOLIS </t>
  </si>
  <si>
    <t xml:space="preserve">MARTA CRISTINA BELANI          </t>
  </si>
  <si>
    <t xml:space="preserve">LOCACAO DE IMOVEL COMERCIAL   ATENDIMENTO AO CLIENTE          </t>
  </si>
  <si>
    <t xml:space="preserve">MATINHOS   </t>
  </si>
  <si>
    <t xml:space="preserve">SALENDO PARTICIPACOES IMOBILIA </t>
  </si>
  <si>
    <t xml:space="preserve">CONTRATACAO DE LOCACAO DE IMOVEL PARA SEDE DE MATINHOS        </t>
  </si>
  <si>
    <t xml:space="preserve">NOVA ALIAN </t>
  </si>
  <si>
    <t xml:space="preserve">OSCAR CANDIDO FURLAN           </t>
  </si>
  <si>
    <t xml:space="preserve">ALUGUEL DE IMOVEIS                                            </t>
  </si>
  <si>
    <t xml:space="preserve">NOVA ESPER </t>
  </si>
  <si>
    <t xml:space="preserve">SILVIA DA SILVA BOGER          </t>
  </si>
  <si>
    <t xml:space="preserve">LOCACAO DE UMA SALA PARA ATENDIMENTO AO PUBLICO, NA CIDADE D  </t>
  </si>
  <si>
    <t xml:space="preserve">NOVA SANTA </t>
  </si>
  <si>
    <t xml:space="preserve">ARMINDO FISCHER                </t>
  </si>
  <si>
    <t xml:space="preserve">LOCACAO DE IMOVEL NO MUNICIPIO DE NOVA SANTA ROSA             </t>
  </si>
  <si>
    <t>318041/2019</t>
  </si>
  <si>
    <t xml:space="preserve">ORTIGUEIRA </t>
  </si>
  <si>
    <t xml:space="preserve">GUILHERME TIMOTEO              </t>
  </si>
  <si>
    <t xml:space="preserve">LOCACAO DE IMOVEL PARA ESTRUTURA DAS COORDENACOES E ATENDIM   </t>
  </si>
  <si>
    <t>278152/2017</t>
  </si>
  <si>
    <t xml:space="preserve">PARANAVAI  </t>
  </si>
  <si>
    <t xml:space="preserve">LD FELIPPE E CIA LTDA          </t>
  </si>
  <si>
    <t xml:space="preserve">LOCACAO DE IMOVEL PARA INSTALACAO DA SEDE DA UNIDADE REGION   </t>
  </si>
  <si>
    <t>307921/2018</t>
  </si>
  <si>
    <t xml:space="preserve">PATO BRANC </t>
  </si>
  <si>
    <t xml:space="preserve">NEUSA FATIMA VANIN             </t>
  </si>
  <si>
    <t xml:space="preserve">LOCACAO DE BARRACAO PARA ARMAZENAMENTO DE MATERIAIS, NA CID   </t>
  </si>
  <si>
    <t xml:space="preserve">PEROLA D O </t>
  </si>
  <si>
    <t xml:space="preserve">SERLENE DALL AGNOL DORL        </t>
  </si>
  <si>
    <t>2 TA RENOVACAO</t>
  </si>
  <si>
    <t xml:space="preserve">PINHAIS    </t>
  </si>
  <si>
    <t>79583027000104</t>
  </si>
  <si>
    <t xml:space="preserve">ESSEX PARTICIPACOES E EMPREEND </t>
  </si>
  <si>
    <t xml:space="preserve">RENOVACAO DE LOCACAO DE IMOVEL USO CD PINHAIS PQ              </t>
  </si>
  <si>
    <t>281938/2017</t>
  </si>
  <si>
    <t xml:space="preserve">KARINA XAVIER DA SILVA         </t>
  </si>
  <si>
    <t xml:space="preserve">LOCACAO DE IMOVEL PARA COORD. DE CLIENTES E ESCRITORIO BASE   </t>
  </si>
  <si>
    <t xml:space="preserve">PINHALAO   </t>
  </si>
  <si>
    <t xml:space="preserve">JUSIEL DOS SANTOS CASTRO       </t>
  </si>
  <si>
    <t xml:space="preserve">LOCACAO DE IMOVEL  SALA COM BANHEIRO                          </t>
  </si>
  <si>
    <t xml:space="preserve">PITANGA    </t>
  </si>
  <si>
    <t xml:space="preserve">ADAO MANCHUR                   </t>
  </si>
  <si>
    <t xml:space="preserve">LOCACAO SALA COMERCIAL ATENDIMENTO AO CLIENTE PITANGA         </t>
  </si>
  <si>
    <t xml:space="preserve">PONTA GROS </t>
  </si>
  <si>
    <t xml:space="preserve">CADORE ADMINISTRADORA DE BENS  </t>
  </si>
  <si>
    <t xml:space="preserve">RENOVACAO DO CONTRATO DE LOCACAO GEMSD                        </t>
  </si>
  <si>
    <t>288512/2018</t>
  </si>
  <si>
    <t xml:space="preserve">CARLOS H.PROKOPIAK GARLETTI    </t>
  </si>
  <si>
    <t xml:space="preserve">CONTRATO DE LOCACAO DE IMOVEL PARA SEDE DA USPOSD EM PONTA    </t>
  </si>
  <si>
    <t>288054/2018</t>
  </si>
  <si>
    <t xml:space="preserve">CELIO ROSA                     </t>
  </si>
  <si>
    <t xml:space="preserve">CONTRATO DE LOCACAO DE TERRENO PARA ESTACIONAMENTO DA SEDE    </t>
  </si>
  <si>
    <t xml:space="preserve">PONTAL DO  </t>
  </si>
  <si>
    <t xml:space="preserve">CLEUDE MERI ALBANO             </t>
  </si>
  <si>
    <t xml:space="preserve">CONTRATACAO LOCACAO DE IMOVEL PONTAL DO PARANA                </t>
  </si>
  <si>
    <t xml:space="preserve">PRUDENTOPO </t>
  </si>
  <si>
    <t xml:space="preserve">OSVALDO JOSE TERNOSKI          </t>
  </si>
  <si>
    <t xml:space="preserve">LOCACAO IMOVEL PARA ATIVIDADES DA CENTRAL DE RELACIONAMENTO   </t>
  </si>
  <si>
    <t>316674/2019</t>
  </si>
  <si>
    <t xml:space="preserve">QUEDAS DO  </t>
  </si>
  <si>
    <t xml:space="preserve">AMELIA PETKOWICZ               </t>
  </si>
  <si>
    <t xml:space="preserve">LOCACAO DE SALA COMERCIAL PARA ATENDIMENTO AO CLIENTE E SUPO  </t>
  </si>
  <si>
    <t xml:space="preserve">PAGAMENTO DE IPTU SALA LOCADA EM QUEDAS DO IGUACU             </t>
  </si>
  <si>
    <t>294344/2018</t>
  </si>
  <si>
    <t xml:space="preserve">RESERVA    </t>
  </si>
  <si>
    <t xml:space="preserve">LUCILA MICHETEN DIAS           </t>
  </si>
  <si>
    <t xml:space="preserve">LOCACAO IMOVEL SISTEMA RESERVA                                </t>
  </si>
  <si>
    <t xml:space="preserve">RIO AZUL   </t>
  </si>
  <si>
    <t xml:space="preserve">MARCOS VALENGA                 </t>
  </si>
  <si>
    <t xml:space="preserve">LOCACAO DE IMOVEL PARA ATENDIMENTO AO PUBLICO EM RIO AZUL     </t>
  </si>
  <si>
    <t xml:space="preserve">RIO BRANCO </t>
  </si>
  <si>
    <t xml:space="preserve">ELSIO JORGE ELIAS              </t>
  </si>
  <si>
    <t xml:space="preserve">LOCACAO DE IMOVEL A SER UTILIZADO COMO ESCRITORIO DE RBS.     </t>
  </si>
  <si>
    <t xml:space="preserve">SANTA MARI </t>
  </si>
  <si>
    <t xml:space="preserve">ADELIA TOMEN                   </t>
  </si>
  <si>
    <t xml:space="preserve">SAO JOAO   </t>
  </si>
  <si>
    <t xml:space="preserve">HEISS FURGOES LTDA             </t>
  </si>
  <si>
    <t xml:space="preserve">LOCACAO DE CONTEINER ESCRITORIO LABORATORIO PARA ETE DE SAO   </t>
  </si>
  <si>
    <t xml:space="preserve">SAO JORGE  </t>
  </si>
  <si>
    <t xml:space="preserve">MARCO ANTONIO PERES            </t>
  </si>
  <si>
    <t xml:space="preserve">LOCACAO DE IMOVEL PARA ATENDIMENTO AO PUBLICO                 </t>
  </si>
  <si>
    <t>279585/2017</t>
  </si>
  <si>
    <t xml:space="preserve">TAMARANA   </t>
  </si>
  <si>
    <t xml:space="preserve">CLEUDIR JOSE CATAI             </t>
  </si>
  <si>
    <t xml:space="preserve">LOCACAO DE IMOVEL COMERCIAL, EM ALVENARIA, COM AREA CONSTRU   </t>
  </si>
  <si>
    <t>279583/2017</t>
  </si>
  <si>
    <t xml:space="preserve">VRN ADM.E PARTICIPACOES EIRELI </t>
  </si>
  <si>
    <t xml:space="preserve">IMOVEL SEDE DA GERENCIA URLC ATENDIMENTO AO CLIENTE, GERENC   </t>
  </si>
  <si>
    <t xml:space="preserve">TEIXEIRA S </t>
  </si>
  <si>
    <t xml:space="preserve">LORENA ABIB                    </t>
  </si>
  <si>
    <t xml:space="preserve">LOACACAO IMOVEL PARA CENTRAL DE RELACIONAMENTO COM CLIENTE    </t>
  </si>
  <si>
    <t>301129/2018</t>
  </si>
  <si>
    <t xml:space="preserve">TELEMACO B </t>
  </si>
  <si>
    <t xml:space="preserve">JOSE MARTINS DURAES            </t>
  </si>
  <si>
    <t xml:space="preserve">LOCACAO DE IMOVEL PARA ESTRUTURA DA GERENCIA REGIONAL, COOR   </t>
  </si>
  <si>
    <t xml:space="preserve">TIJUCAS DO </t>
  </si>
  <si>
    <t xml:space="preserve">DANILO JOSE DOS SANTOS         </t>
  </si>
  <si>
    <t xml:space="preserve">LOCACAO DE IMOVEL PARA ESCRITORIO DA COORD. DE MANUTENCAO E   </t>
  </si>
  <si>
    <t xml:space="preserve">TURVO      </t>
  </si>
  <si>
    <t xml:space="preserve">ANTONIO SEGURO                 </t>
  </si>
  <si>
    <t xml:space="preserve">LOCACAO DE SALA COMERCIAL P  ATEND. AO CLIENTE EM TURVO       </t>
  </si>
  <si>
    <t xml:space="preserve">UNIAO DA V </t>
  </si>
  <si>
    <t xml:space="preserve">LUIZ CARLOS SOTER              </t>
  </si>
  <si>
    <t xml:space="preserve">LOCACAO IMOVEL PARA SEDE DA GERENCIA URUV                     </t>
  </si>
  <si>
    <t xml:space="preserve">VERE       </t>
  </si>
  <si>
    <t xml:space="preserve">NILVA MARIA BERLATTO COMNISKY  </t>
  </si>
  <si>
    <t xml:space="preserve">LOCACAO DE CONTAINER PARA TRATAMENTO DE AGUA NO SISTEMA DE V  </t>
  </si>
  <si>
    <t>45619/2021</t>
  </si>
  <si>
    <t xml:space="preserve">MUNDIAL FOGOS LTDA. ME         </t>
  </si>
  <si>
    <t xml:space="preserve">SERV LOCACAO DE GRUPO GERADOR DE ENERGIA                      </t>
  </si>
  <si>
    <t>GDOP</t>
  </si>
  <si>
    <t xml:space="preserve">IMPLY RENTAL LOCACAO DE EQUIPA </t>
  </si>
  <si>
    <t xml:space="preserve">SERV LOCACAO DE TOTENS AUTOATENDIMENTO                        </t>
  </si>
  <si>
    <t>GPDC</t>
  </si>
  <si>
    <t>Projeções para contratos com encerramento anterior à 12/2024</t>
  </si>
  <si>
    <t>Aluguel de Ativos</t>
  </si>
  <si>
    <t>Análises</t>
  </si>
  <si>
    <t xml:space="preserve">Comercial </t>
  </si>
  <si>
    <t>Operacional (Água e Esgoto)</t>
  </si>
  <si>
    <t>312 - Locações de bens móveis</t>
  </si>
  <si>
    <t>319 - Aluguéis de imóveis</t>
  </si>
  <si>
    <t>504 - Amort. Direito de Uso Arrendamento</t>
  </si>
  <si>
    <t>911 - Juros e Atual. Mon. Arrend Mercantil - CPC06</t>
  </si>
  <si>
    <t>Relação pagamentos SLP - 2017 a 2020</t>
  </si>
  <si>
    <t>Contrato</t>
  </si>
  <si>
    <t>Parcela</t>
  </si>
  <si>
    <t>Data</t>
  </si>
  <si>
    <t>Amortização</t>
  </si>
  <si>
    <t>Juros</t>
  </si>
  <si>
    <t>SLP - MARCO I</t>
  </si>
  <si>
    <t>05/02/2017</t>
  </si>
  <si>
    <t>05/03/2017</t>
  </si>
  <si>
    <t>05/04/2017</t>
  </si>
  <si>
    <t>05/05/2017</t>
  </si>
  <si>
    <t>05/06/2017</t>
  </si>
  <si>
    <t>05/07/2017</t>
  </si>
  <si>
    <t>05/08/2017</t>
  </si>
  <si>
    <t>05/09/2017</t>
  </si>
  <si>
    <t>SLP - MARCO II</t>
  </si>
  <si>
    <t>05/10/2017</t>
  </si>
  <si>
    <t>05/11/2017</t>
  </si>
  <si>
    <t>05/12/2017</t>
  </si>
  <si>
    <t>05/01/2018</t>
  </si>
  <si>
    <t>05/02/2018</t>
  </si>
  <si>
    <t>SLP - MARCO III</t>
  </si>
  <si>
    <t>05/03/2018</t>
  </si>
  <si>
    <t>05/04/2018</t>
  </si>
  <si>
    <t>05/05/2018</t>
  </si>
  <si>
    <t>05/06/2018</t>
  </si>
  <si>
    <t>05/07/2018</t>
  </si>
  <si>
    <t>05/08/2018</t>
  </si>
  <si>
    <t>05/09/2018</t>
  </si>
  <si>
    <t>05/10/2018</t>
  </si>
  <si>
    <t>SLP - MARCO IV</t>
  </si>
  <si>
    <t>05/11/2018</t>
  </si>
  <si>
    <t>05/12/2018</t>
  </si>
  <si>
    <t>05/01/2019</t>
  </si>
  <si>
    <t>05/02/2019</t>
  </si>
  <si>
    <t>05/03/2019</t>
  </si>
  <si>
    <t>05/04/2019</t>
  </si>
  <si>
    <t>05/05/2019</t>
  </si>
  <si>
    <t>05/06/2019</t>
  </si>
  <si>
    <t>05/07/2019</t>
  </si>
  <si>
    <t>05/08/2019</t>
  </si>
  <si>
    <t>05/09/2019</t>
  </si>
  <si>
    <t>05/10/2019</t>
  </si>
  <si>
    <t>05/11/2019</t>
  </si>
  <si>
    <t>05/12/2019</t>
  </si>
  <si>
    <t>05/01/2020</t>
  </si>
  <si>
    <t>05/02/2020</t>
  </si>
  <si>
    <t>05/03/2020</t>
  </si>
  <si>
    <t>05/04/2020</t>
  </si>
  <si>
    <t>05/05/2020</t>
  </si>
  <si>
    <t>05/06/2020</t>
  </si>
  <si>
    <t>05/07/2020</t>
  </si>
  <si>
    <t>05/08/2020</t>
  </si>
  <si>
    <t>05/09/2020</t>
  </si>
  <si>
    <t>05/10/2020</t>
  </si>
  <si>
    <t>05/11/2020</t>
  </si>
  <si>
    <t>05/12/2020</t>
  </si>
  <si>
    <t>Índice</t>
  </si>
  <si>
    <t>Total Atualizado</t>
  </si>
  <si>
    <t>Valor Realizado</t>
  </si>
  <si>
    <t>Valor Atualizado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</si>
</sst>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??_);_(@_)"/>
    <numFmt numFmtId="167" formatCode="#,##0.0"/>
    <numFmt numFmtId="168" formatCode="_(* #,##0.00_);_(* \(#,##0.00\);_(* &quot;-&quot;??_);_(@_)"/>
    <numFmt numFmtId="169" formatCode="_-* #,##0.0000_-;\-* #,##0.0000_-;_-* &quot;-&quot;??_-;_-@_-"/>
    <numFmt numFmtId="170" formatCode="_-* #,##0.000000000000_-;\-* #,##0.000000000000_-;_-* &quot;-&quot;??_-;_-@_-"/>
    <numFmt numFmtId="171" formatCode="_(* #,##0.0000_);_(* \(#,##0.0000\);_(* &quot;-&quot;??_);_(@_)"/>
    <numFmt numFmtId="172" formatCode="_-* #,##0.000000_-;\-* #,##0.000000_-;_-* &quot;-&quot;????_-;_-@_-"/>
    <numFmt numFmtId="173" formatCode="[$-416]mmm\-yy;@"/>
    <numFmt numFmtId="174" formatCode="00000000000000"/>
    <numFmt numFmtId="175" formatCode="_(&quot;R$&quot;* #,##0.00_);_(&quot;R$&quot;* \(#,##0.00\);_(&quot;R$&quot;* &quot;-&quot;??_);_(@_)"/>
    <numFmt numFmtId="176" formatCode="mm/yyyy"/>
    <numFmt numFmtId="177" formatCode="m/yyyy"/>
    <numFmt numFmtId="178" formatCode="00"/>
    <numFmt numFmtId="179" formatCode="#,##0.00000000"/>
    <numFmt numFmtId="180" formatCode="0.00000000"/>
    <numFmt numFmtId="181" formatCode="_-* #,##0.00000000_-;\-* #,##0.000000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i/>
      <sz val="11"/>
      <color theme="1"/>
      <name val="Arial Narrow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ov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dashed">
        <color auto="1"/>
      </right>
      <top/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auto="1"/>
      </right>
      <top style="double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4" fillId="0" borderId="0"/>
    <xf numFmtId="175" fontId="1" fillId="0" borderId="0" applyFont="0" applyFill="0" applyBorder="0" applyAlignment="0" applyProtection="0"/>
  </cellStyleXfs>
  <cellXfs count="393">
    <xf numFmtId="0" fontId="0" fillId="0" borderId="0" xfId="0"/>
    <xf numFmtId="0" fontId="4" fillId="0" borderId="0" xfId="0" applyFont="1"/>
    <xf numFmtId="0" fontId="5" fillId="0" borderId="0" xfId="0" applyFont="1"/>
    <xf numFmtId="164" fontId="6" fillId="0" borderId="0" xfId="2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65" fontId="5" fillId="0" borderId="1" xfId="1" applyNumberFormat="1" applyFont="1" applyFill="1" applyBorder="1"/>
    <xf numFmtId="165" fontId="5" fillId="0" borderId="0" xfId="0" applyNumberFormat="1" applyFont="1"/>
    <xf numFmtId="164" fontId="5" fillId="0" borderId="0" xfId="2" applyNumberFormat="1" applyFont="1"/>
    <xf numFmtId="0" fontId="6" fillId="0" borderId="1" xfId="0" applyFont="1" applyBorder="1"/>
    <xf numFmtId="165" fontId="6" fillId="0" borderId="1" xfId="0" applyNumberFormat="1" applyFont="1" applyBorder="1"/>
    <xf numFmtId="165" fontId="5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 applyFill="1" applyBorder="1" applyAlignment="1">
      <alignment horizontal="center"/>
    </xf>
    <xf numFmtId="166" fontId="5" fillId="0" borderId="0" xfId="0" applyNumberFormat="1" applyFont="1"/>
    <xf numFmtId="166" fontId="6" fillId="0" borderId="0" xfId="0" applyNumberFormat="1" applyFont="1"/>
    <xf numFmtId="165" fontId="6" fillId="0" borderId="0" xfId="0" applyNumberFormat="1" applyFont="1"/>
    <xf numFmtId="3" fontId="5" fillId="0" borderId="0" xfId="0" applyNumberFormat="1" applyFont="1"/>
    <xf numFmtId="0" fontId="7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/>
    </xf>
    <xf numFmtId="1" fontId="5" fillId="0" borderId="0" xfId="0" applyNumberFormat="1" applyFont="1"/>
    <xf numFmtId="3" fontId="6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/>
    </xf>
    <xf numFmtId="10" fontId="5" fillId="0" borderId="0" xfId="2" applyNumberFormat="1" applyFont="1"/>
    <xf numFmtId="166" fontId="5" fillId="0" borderId="1" xfId="0" applyNumberFormat="1" applyFont="1" applyBorder="1"/>
    <xf numFmtId="164" fontId="5" fillId="0" borderId="1" xfId="2" applyNumberFormat="1" applyFont="1" applyFill="1" applyBorder="1"/>
    <xf numFmtId="164" fontId="5" fillId="0" borderId="1" xfId="2" applyNumberFormat="1" applyFont="1" applyBorder="1"/>
    <xf numFmtId="0" fontId="6" fillId="4" borderId="1" xfId="0" applyFont="1" applyFill="1" applyBorder="1"/>
    <xf numFmtId="164" fontId="6" fillId="4" borderId="1" xfId="2" applyNumberFormat="1" applyFont="1" applyFill="1" applyBorder="1" applyAlignment="1">
      <alignment horizontal="center"/>
    </xf>
    <xf numFmtId="166" fontId="6" fillId="4" borderId="1" xfId="0" applyNumberFormat="1" applyFont="1" applyFill="1" applyBorder="1"/>
    <xf numFmtId="164" fontId="6" fillId="0" borderId="0" xfId="2" applyNumberFormat="1" applyFont="1" applyFill="1" applyBorder="1" applyAlignment="1">
      <alignment horizontal="center"/>
    </xf>
    <xf numFmtId="10" fontId="6" fillId="0" borderId="0" xfId="2" applyNumberFormat="1" applyFont="1" applyBorder="1"/>
    <xf numFmtId="164" fontId="6" fillId="0" borderId="0" xfId="2" applyNumberFormat="1" applyFont="1" applyBorder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4" borderId="1" xfId="2" applyNumberFormat="1" applyFont="1" applyFill="1" applyBorder="1"/>
    <xf numFmtId="9" fontId="5" fillId="0" borderId="0" xfId="2" applyFont="1"/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9" fontId="5" fillId="0" borderId="0" xfId="2" applyFont="1" applyFill="1" applyAlignment="1">
      <alignment horizontal="center"/>
    </xf>
    <xf numFmtId="43" fontId="5" fillId="0" borderId="0" xfId="1" applyFont="1" applyFill="1" applyAlignment="1">
      <alignment horizontal="left" indent="1"/>
    </xf>
    <xf numFmtId="166" fontId="5" fillId="0" borderId="9" xfId="0" applyNumberFormat="1" applyFont="1" applyBorder="1"/>
    <xf numFmtId="166" fontId="5" fillId="0" borderId="7" xfId="0" applyNumberFormat="1" applyFont="1" applyBorder="1"/>
    <xf numFmtId="166" fontId="5" fillId="0" borderId="14" xfId="0" applyNumberFormat="1" applyFont="1" applyBorder="1"/>
    <xf numFmtId="164" fontId="5" fillId="0" borderId="9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 indent="1"/>
    </xf>
    <xf numFmtId="9" fontId="5" fillId="5" borderId="0" xfId="2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166" fontId="9" fillId="0" borderId="4" xfId="0" applyNumberFormat="1" applyFont="1" applyBorder="1"/>
    <xf numFmtId="166" fontId="9" fillId="0" borderId="1" xfId="0" applyNumberFormat="1" applyFont="1" applyBorder="1"/>
    <xf numFmtId="166" fontId="9" fillId="0" borderId="0" xfId="0" applyNumberFormat="1" applyFont="1"/>
    <xf numFmtId="164" fontId="9" fillId="0" borderId="1" xfId="2" applyNumberFormat="1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0" fontId="5" fillId="0" borderId="4" xfId="0" applyFont="1" applyBorder="1"/>
    <xf numFmtId="0" fontId="9" fillId="0" borderId="0" xfId="0" applyFont="1" applyAlignment="1">
      <alignment horizontal="center"/>
    </xf>
    <xf numFmtId="166" fontId="5" fillId="0" borderId="10" xfId="0" applyNumberFormat="1" applyFont="1" applyBorder="1"/>
    <xf numFmtId="166" fontId="9" fillId="0" borderId="5" xfId="0" applyNumberFormat="1" applyFont="1" applyBorder="1"/>
    <xf numFmtId="0" fontId="5" fillId="0" borderId="8" xfId="0" applyFont="1" applyBorder="1" applyAlignment="1">
      <alignment horizontal="center"/>
    </xf>
    <xf numFmtId="4" fontId="0" fillId="5" borderId="0" xfId="0" applyNumberFormat="1" applyFill="1" applyAlignment="1">
      <alignment vertical="center"/>
    </xf>
    <xf numFmtId="4" fontId="13" fillId="0" borderId="0" xfId="0" applyNumberFormat="1" applyFont="1" applyAlignment="1">
      <alignment vertical="center"/>
    </xf>
    <xf numFmtId="168" fontId="0" fillId="0" borderId="0" xfId="3" applyFont="1" applyAlignment="1">
      <alignment vertical="center"/>
    </xf>
    <xf numFmtId="168" fontId="0" fillId="0" borderId="0" xfId="3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6" borderId="0" xfId="0" applyNumberFormat="1" applyFill="1" applyAlignment="1">
      <alignment vertical="center"/>
    </xf>
    <xf numFmtId="4" fontId="0" fillId="6" borderId="6" xfId="0" applyNumberFormat="1" applyFill="1" applyBorder="1" applyAlignment="1">
      <alignment vertical="center"/>
    </xf>
    <xf numFmtId="4" fontId="3" fillId="6" borderId="0" xfId="0" applyNumberFormat="1" applyFont="1" applyFill="1" applyAlignment="1">
      <alignment vertical="center"/>
    </xf>
    <xf numFmtId="4" fontId="3" fillId="6" borderId="6" xfId="0" applyNumberFormat="1" applyFont="1" applyFill="1" applyBorder="1" applyAlignment="1">
      <alignment vertical="center"/>
    </xf>
    <xf numFmtId="168" fontId="3" fillId="5" borderId="1" xfId="3" applyFont="1" applyFill="1" applyBorder="1" applyAlignment="1">
      <alignment horizontal="center" vertical="center"/>
    </xf>
    <xf numFmtId="168" fontId="3" fillId="6" borderId="5" xfId="3" applyFont="1" applyFill="1" applyBorder="1" applyAlignment="1">
      <alignment vertical="center"/>
    </xf>
    <xf numFmtId="168" fontId="3" fillId="6" borderId="1" xfId="3" applyFont="1" applyFill="1" applyBorder="1" applyAlignment="1">
      <alignment vertical="center"/>
    </xf>
    <xf numFmtId="168" fontId="3" fillId="5" borderId="1" xfId="3" applyFont="1" applyFill="1" applyBorder="1" applyAlignment="1">
      <alignment horizontal="center" vertical="center" wrapText="1"/>
    </xf>
    <xf numFmtId="168" fontId="3" fillId="6" borderId="10" xfId="3" applyFont="1" applyFill="1" applyBorder="1" applyAlignment="1">
      <alignment vertical="center"/>
    </xf>
    <xf numFmtId="168" fontId="3" fillId="5" borderId="10" xfId="3" applyFont="1" applyFill="1" applyBorder="1" applyAlignment="1">
      <alignment horizontal="center" vertical="center" wrapText="1"/>
    </xf>
    <xf numFmtId="168" fontId="3" fillId="5" borderId="10" xfId="3" applyFont="1" applyFill="1" applyBorder="1" applyAlignment="1">
      <alignment horizontal="center" vertical="center"/>
    </xf>
    <xf numFmtId="168" fontId="3" fillId="6" borderId="1" xfId="3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/>
    </xf>
    <xf numFmtId="168" fontId="3" fillId="6" borderId="0" xfId="3" applyFont="1" applyFill="1" applyBorder="1" applyAlignment="1">
      <alignment vertical="center"/>
    </xf>
    <xf numFmtId="168" fontId="3" fillId="5" borderId="0" xfId="3" applyFont="1" applyFill="1" applyBorder="1" applyAlignment="1">
      <alignment horizontal="center" vertical="center"/>
    </xf>
    <xf numFmtId="168" fontId="3" fillId="5" borderId="0" xfId="3" applyFont="1" applyFill="1" applyBorder="1" applyAlignment="1">
      <alignment vertical="center"/>
    </xf>
    <xf numFmtId="168" fontId="3" fillId="6" borderId="6" xfId="3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4" fontId="0" fillId="0" borderId="6" xfId="0" applyNumberFormat="1" applyBorder="1" applyAlignment="1">
      <alignment vertical="center"/>
    </xf>
    <xf numFmtId="168" fontId="1" fillId="5" borderId="0" xfId="3" applyFont="1" applyFill="1" applyBorder="1" applyAlignment="1">
      <alignment horizontal="center" vertical="center"/>
    </xf>
    <xf numFmtId="168" fontId="0" fillId="5" borderId="0" xfId="3" applyFont="1" applyFill="1" applyBorder="1" applyAlignment="1">
      <alignment horizontal="center" vertical="center"/>
    </xf>
    <xf numFmtId="168" fontId="0" fillId="5" borderId="0" xfId="3" applyFont="1" applyFill="1" applyBorder="1" applyAlignment="1">
      <alignment vertical="center"/>
    </xf>
    <xf numFmtId="168" fontId="1" fillId="5" borderId="0" xfId="3" applyFont="1" applyFill="1" applyBorder="1" applyAlignment="1">
      <alignment vertical="center"/>
    </xf>
    <xf numFmtId="168" fontId="0" fillId="0" borderId="6" xfId="3" applyFont="1" applyBorder="1" applyAlignment="1">
      <alignment vertical="center"/>
    </xf>
    <xf numFmtId="4" fontId="3" fillId="5" borderId="0" xfId="0" applyNumberFormat="1" applyFont="1" applyFill="1" applyAlignment="1">
      <alignment vertical="center"/>
    </xf>
    <xf numFmtId="168" fontId="3" fillId="0" borderId="0" xfId="3" applyFont="1" applyBorder="1" applyAlignment="1">
      <alignment vertical="center"/>
    </xf>
    <xf numFmtId="168" fontId="3" fillId="0" borderId="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" fillId="0" borderId="6" xfId="0" applyNumberFormat="1" applyFont="1" applyBorder="1" applyAlignment="1">
      <alignment vertical="center"/>
    </xf>
    <xf numFmtId="168" fontId="2" fillId="0" borderId="0" xfId="3" applyFont="1" applyBorder="1" applyAlignment="1">
      <alignment vertical="center"/>
    </xf>
    <xf numFmtId="168" fontId="1" fillId="0" borderId="0" xfId="3" applyFont="1" applyBorder="1" applyAlignment="1">
      <alignment vertical="center"/>
    </xf>
    <xf numFmtId="168" fontId="1" fillId="0" borderId="6" xfId="3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68" fontId="11" fillId="6" borderId="0" xfId="3" applyFont="1" applyFill="1" applyBorder="1" applyAlignment="1">
      <alignment vertical="center"/>
    </xf>
    <xf numFmtId="4" fontId="0" fillId="0" borderId="0" xfId="0" quotePrefix="1" applyNumberFormat="1" applyAlignment="1">
      <alignment vertical="center"/>
    </xf>
    <xf numFmtId="168" fontId="2" fillId="0" borderId="6" xfId="3" applyFont="1" applyBorder="1" applyAlignment="1">
      <alignment vertical="center"/>
    </xf>
    <xf numFmtId="168" fontId="0" fillId="5" borderId="0" xfId="3" applyFont="1" applyFill="1" applyAlignment="1">
      <alignment horizontal="center" vertical="center"/>
    </xf>
    <xf numFmtId="168" fontId="0" fillId="5" borderId="0" xfId="3" applyFont="1" applyFill="1" applyAlignment="1">
      <alignment vertical="center"/>
    </xf>
    <xf numFmtId="167" fontId="5" fillId="0" borderId="0" xfId="0" applyNumberFormat="1" applyFont="1"/>
    <xf numFmtId="4" fontId="5" fillId="0" borderId="0" xfId="0" applyNumberFormat="1" applyFont="1"/>
    <xf numFmtId="43" fontId="5" fillId="0" borderId="0" xfId="1" applyFont="1" applyFill="1" applyBorder="1" applyAlignment="1">
      <alignment horizontal="center"/>
    </xf>
    <xf numFmtId="165" fontId="9" fillId="0" borderId="0" xfId="0" applyNumberFormat="1" applyFont="1"/>
    <xf numFmtId="164" fontId="6" fillId="0" borderId="0" xfId="2" applyNumberFormat="1" applyFont="1" applyFill="1"/>
    <xf numFmtId="10" fontId="5" fillId="0" borderId="0" xfId="2" applyNumberFormat="1" applyFont="1" applyFill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166" fontId="5" fillId="0" borderId="6" xfId="0" applyNumberFormat="1" applyFont="1" applyBorder="1"/>
    <xf numFmtId="166" fontId="5" fillId="0" borderId="0" xfId="0" applyNumberFormat="1" applyFont="1" applyBorder="1"/>
    <xf numFmtId="166" fontId="9" fillId="0" borderId="21" xfId="0" applyNumberFormat="1" applyFont="1" applyBorder="1"/>
    <xf numFmtId="166" fontId="9" fillId="0" borderId="22" xfId="0" applyNumberFormat="1" applyFont="1" applyBorder="1"/>
    <xf numFmtId="166" fontId="9" fillId="0" borderId="20" xfId="0" applyNumberFormat="1" applyFont="1" applyBorder="1"/>
    <xf numFmtId="166" fontId="9" fillId="0" borderId="23" xfId="0" applyNumberFormat="1" applyFont="1" applyBorder="1"/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4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0" xfId="0" applyFont="1" applyFill="1"/>
    <xf numFmtId="166" fontId="6" fillId="0" borderId="0" xfId="0" applyNumberFormat="1" applyFont="1" applyFill="1"/>
    <xf numFmtId="166" fontId="5" fillId="0" borderId="0" xfId="0" applyNumberFormat="1" applyFont="1" applyFill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/>
    <xf numFmtId="0" fontId="6" fillId="4" borderId="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43" fontId="5" fillId="0" borderId="0" xfId="1" applyFont="1"/>
    <xf numFmtId="166" fontId="5" fillId="0" borderId="9" xfId="0" applyNumberFormat="1" applyFont="1" applyFill="1" applyBorder="1"/>
    <xf numFmtId="166" fontId="5" fillId="0" borderId="14" xfId="0" applyNumberFormat="1" applyFont="1" applyFill="1" applyBorder="1"/>
    <xf numFmtId="166" fontId="5" fillId="0" borderId="0" xfId="0" applyNumberFormat="1" applyFont="1" applyFill="1" applyBorder="1"/>
    <xf numFmtId="166" fontId="9" fillId="0" borderId="4" xfId="0" applyNumberFormat="1" applyFont="1" applyFill="1" applyBorder="1"/>
    <xf numFmtId="166" fontId="9" fillId="0" borderId="1" xfId="0" applyNumberFormat="1" applyFont="1" applyFill="1" applyBorder="1"/>
    <xf numFmtId="166" fontId="9" fillId="0" borderId="21" xfId="0" applyNumberFormat="1" applyFont="1" applyFill="1" applyBorder="1"/>
    <xf numFmtId="166" fontId="9" fillId="0" borderId="22" xfId="0" applyNumberFormat="1" applyFont="1" applyFill="1" applyBorder="1"/>
    <xf numFmtId="166" fontId="9" fillId="0" borderId="20" xfId="0" applyNumberFormat="1" applyFont="1" applyFill="1" applyBorder="1"/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43" fontId="5" fillId="0" borderId="25" xfId="1" applyFont="1" applyFill="1" applyBorder="1" applyAlignment="1">
      <alignment horizontal="left" indent="1"/>
    </xf>
    <xf numFmtId="43" fontId="5" fillId="0" borderId="0" xfId="1" applyFont="1" applyFill="1" applyBorder="1" applyAlignment="1">
      <alignment horizontal="left" indent="1"/>
    </xf>
    <xf numFmtId="0" fontId="7" fillId="4" borderId="20" xfId="0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165" fontId="5" fillId="0" borderId="26" xfId="1" applyNumberFormat="1" applyFont="1" applyFill="1" applyBorder="1" applyAlignment="1">
      <alignment horizontal="center"/>
    </xf>
    <xf numFmtId="165" fontId="5" fillId="0" borderId="27" xfId="1" applyNumberFormat="1" applyFont="1" applyFill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0" borderId="19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165" fontId="5" fillId="0" borderId="31" xfId="1" applyNumberFormat="1" applyFont="1" applyFill="1" applyBorder="1" applyAlignment="1">
      <alignment horizontal="center"/>
    </xf>
    <xf numFmtId="165" fontId="5" fillId="0" borderId="32" xfId="1" applyNumberFormat="1" applyFont="1" applyFill="1" applyBorder="1" applyAlignment="1">
      <alignment horizontal="center"/>
    </xf>
    <xf numFmtId="165" fontId="5" fillId="0" borderId="33" xfId="1" applyNumberFormat="1" applyFont="1" applyFill="1" applyBorder="1" applyAlignment="1">
      <alignment horizontal="center"/>
    </xf>
    <xf numFmtId="165" fontId="5" fillId="0" borderId="34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36" xfId="1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/>
    <xf numFmtId="0" fontId="6" fillId="0" borderId="0" xfId="0" applyFont="1" applyAlignment="1">
      <alignment horizontal="center"/>
    </xf>
    <xf numFmtId="169" fontId="5" fillId="0" borderId="27" xfId="1" applyNumberFormat="1" applyFont="1" applyFill="1" applyBorder="1" applyAlignment="1">
      <alignment horizontal="center"/>
    </xf>
    <xf numFmtId="169" fontId="5" fillId="0" borderId="28" xfId="1" applyNumberFormat="1" applyFont="1" applyFill="1" applyBorder="1" applyAlignment="1">
      <alignment horizontal="center"/>
    </xf>
    <xf numFmtId="169" fontId="5" fillId="0" borderId="29" xfId="1" applyNumberFormat="1" applyFont="1" applyFill="1" applyBorder="1" applyAlignment="1">
      <alignment horizontal="center"/>
    </xf>
    <xf numFmtId="169" fontId="5" fillId="0" borderId="19" xfId="1" applyNumberFormat="1" applyFont="1" applyFill="1" applyBorder="1" applyAlignment="1">
      <alignment horizontal="center"/>
    </xf>
    <xf numFmtId="169" fontId="5" fillId="0" borderId="20" xfId="1" applyNumberFormat="1" applyFont="1" applyFill="1" applyBorder="1" applyAlignment="1">
      <alignment horizontal="center"/>
    </xf>
    <xf numFmtId="169" fontId="5" fillId="0" borderId="30" xfId="1" applyNumberFormat="1" applyFont="1" applyFill="1" applyBorder="1" applyAlignment="1">
      <alignment horizontal="center"/>
    </xf>
    <xf numFmtId="169" fontId="5" fillId="0" borderId="31" xfId="1" applyNumberFormat="1" applyFont="1" applyFill="1" applyBorder="1" applyAlignment="1">
      <alignment horizontal="center"/>
    </xf>
    <xf numFmtId="169" fontId="5" fillId="0" borderId="32" xfId="1" applyNumberFormat="1" applyFont="1" applyFill="1" applyBorder="1" applyAlignment="1">
      <alignment horizontal="center"/>
    </xf>
    <xf numFmtId="169" fontId="5" fillId="0" borderId="33" xfId="1" applyNumberFormat="1" applyFont="1" applyFill="1" applyBorder="1" applyAlignment="1">
      <alignment horizontal="center"/>
    </xf>
    <xf numFmtId="169" fontId="5" fillId="7" borderId="29" xfId="1" applyNumberFormat="1" applyFont="1" applyFill="1" applyBorder="1" applyAlignment="1">
      <alignment horizontal="center"/>
    </xf>
    <xf numFmtId="169" fontId="5" fillId="7" borderId="30" xfId="1" applyNumberFormat="1" applyFont="1" applyFill="1" applyBorder="1" applyAlignment="1">
      <alignment horizontal="center"/>
    </xf>
    <xf numFmtId="169" fontId="5" fillId="7" borderId="33" xfId="1" applyNumberFormat="1" applyFont="1" applyFill="1" applyBorder="1" applyAlignment="1">
      <alignment horizontal="center"/>
    </xf>
    <xf numFmtId="43" fontId="5" fillId="0" borderId="29" xfId="1" applyFont="1" applyBorder="1" applyAlignment="1">
      <alignment horizontal="center"/>
    </xf>
    <xf numFmtId="43" fontId="5" fillId="0" borderId="30" xfId="1" applyFont="1" applyBorder="1" applyAlignment="1">
      <alignment horizontal="center"/>
    </xf>
    <xf numFmtId="43" fontId="5" fillId="0" borderId="33" xfId="1" applyFont="1" applyBorder="1" applyAlignment="1">
      <alignment horizontal="center"/>
    </xf>
    <xf numFmtId="169" fontId="5" fillId="0" borderId="11" xfId="1" applyNumberFormat="1" applyFont="1" applyBorder="1" applyAlignment="1">
      <alignment horizontal="center"/>
    </xf>
    <xf numFmtId="169" fontId="5" fillId="0" borderId="12" xfId="1" applyNumberFormat="1" applyFont="1" applyBorder="1" applyAlignment="1">
      <alignment horizontal="center"/>
    </xf>
    <xf numFmtId="169" fontId="5" fillId="0" borderId="13" xfId="1" applyNumberFormat="1" applyFont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left" indent="1"/>
    </xf>
    <xf numFmtId="9" fontId="5" fillId="8" borderId="0" xfId="2" applyFont="1" applyFill="1" applyAlignment="1">
      <alignment horizontal="center"/>
    </xf>
    <xf numFmtId="0" fontId="5" fillId="8" borderId="0" xfId="0" applyFont="1" applyFill="1"/>
    <xf numFmtId="165" fontId="6" fillId="0" borderId="1" xfId="0" applyNumberFormat="1" applyFont="1" applyFill="1" applyBorder="1"/>
    <xf numFmtId="0" fontId="5" fillId="0" borderId="27" xfId="0" applyFont="1" applyFill="1" applyBorder="1"/>
    <xf numFmtId="0" fontId="5" fillId="0" borderId="19" xfId="0" applyFont="1" applyFill="1" applyBorder="1"/>
    <xf numFmtId="0" fontId="5" fillId="0" borderId="31" xfId="0" applyFont="1" applyFill="1" applyBorder="1"/>
    <xf numFmtId="0" fontId="5" fillId="0" borderId="20" xfId="0" applyFont="1" applyFill="1" applyBorder="1"/>
    <xf numFmtId="0" fontId="5" fillId="0" borderId="30" xfId="0" applyFont="1" applyFill="1" applyBorder="1"/>
    <xf numFmtId="170" fontId="5" fillId="0" borderId="20" xfId="1" applyNumberFormat="1" applyFont="1" applyFill="1" applyBorder="1" applyAlignment="1">
      <alignment horizontal="center"/>
    </xf>
    <xf numFmtId="170" fontId="5" fillId="0" borderId="30" xfId="1" applyNumberFormat="1" applyFont="1" applyFill="1" applyBorder="1" applyAlignment="1">
      <alignment horizontal="center"/>
    </xf>
    <xf numFmtId="170" fontId="5" fillId="7" borderId="30" xfId="1" applyNumberFormat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7" xfId="1" applyFont="1" applyFill="1" applyBorder="1" applyAlignment="1">
      <alignment horizontal="center"/>
    </xf>
    <xf numFmtId="43" fontId="5" fillId="0" borderId="28" xfId="1" applyFont="1" applyFill="1" applyBorder="1" applyAlignment="1">
      <alignment horizontal="center"/>
    </xf>
    <xf numFmtId="43" fontId="5" fillId="0" borderId="29" xfId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43" fontId="5" fillId="0" borderId="30" xfId="1" applyFont="1" applyFill="1" applyBorder="1" applyAlignment="1">
      <alignment horizontal="center"/>
    </xf>
    <xf numFmtId="43" fontId="5" fillId="0" borderId="31" xfId="1" applyFont="1" applyFill="1" applyBorder="1" applyAlignment="1">
      <alignment horizontal="center"/>
    </xf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5" fillId="0" borderId="29" xfId="0" applyFont="1" applyFill="1" applyBorder="1"/>
    <xf numFmtId="165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/>
    </xf>
    <xf numFmtId="3" fontId="5" fillId="0" borderId="20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5" fillId="0" borderId="29" xfId="0" applyNumberFormat="1" applyFont="1" applyBorder="1"/>
    <xf numFmtId="3" fontId="5" fillId="0" borderId="19" xfId="0" applyNumberFormat="1" applyFont="1" applyBorder="1"/>
    <xf numFmtId="3" fontId="5" fillId="0" borderId="30" xfId="0" applyNumberFormat="1" applyFont="1" applyBorder="1"/>
    <xf numFmtId="43" fontId="5" fillId="0" borderId="11" xfId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170" fontId="5" fillId="0" borderId="11" xfId="1" applyNumberFormat="1" applyFont="1" applyBorder="1"/>
    <xf numFmtId="170" fontId="5" fillId="0" borderId="12" xfId="1" applyNumberFormat="1" applyFont="1" applyBorder="1"/>
    <xf numFmtId="170" fontId="5" fillId="0" borderId="13" xfId="1" applyNumberFormat="1" applyFont="1" applyBorder="1"/>
    <xf numFmtId="43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indent="1"/>
    </xf>
    <xf numFmtId="171" fontId="5" fillId="0" borderId="0" xfId="0" applyNumberFormat="1" applyFont="1"/>
    <xf numFmtId="172" fontId="5" fillId="0" borderId="0" xfId="0" applyNumberFormat="1" applyFont="1"/>
    <xf numFmtId="165" fontId="15" fillId="0" borderId="0" xfId="1" applyNumberFormat="1" applyFont="1" applyAlignment="1">
      <alignment horizontal="center" vertical="center"/>
    </xf>
    <xf numFmtId="165" fontId="15" fillId="0" borderId="0" xfId="1" applyNumberFormat="1" applyFont="1"/>
    <xf numFmtId="165" fontId="5" fillId="0" borderId="20" xfId="1" applyNumberFormat="1" applyFont="1" applyFill="1" applyBorder="1"/>
    <xf numFmtId="0" fontId="17" fillId="0" borderId="0" xfId="0" applyFont="1"/>
    <xf numFmtId="0" fontId="19" fillId="10" borderId="38" xfId="5" applyFont="1" applyFill="1" applyBorder="1" applyAlignment="1">
      <alignment horizontal="center"/>
    </xf>
    <xf numFmtId="0" fontId="19" fillId="10" borderId="39" xfId="5" applyFont="1" applyFill="1" applyBorder="1" applyAlignment="1">
      <alignment horizontal="center"/>
    </xf>
    <xf numFmtId="0" fontId="19" fillId="10" borderId="40" xfId="5" applyFont="1" applyFill="1" applyBorder="1" applyAlignment="1">
      <alignment horizontal="center"/>
    </xf>
    <xf numFmtId="0" fontId="19" fillId="10" borderId="41" xfId="5" applyFont="1" applyFill="1" applyBorder="1" applyAlignment="1">
      <alignment horizontal="center"/>
    </xf>
    <xf numFmtId="0" fontId="19" fillId="10" borderId="37" xfId="5" applyFont="1" applyFill="1" applyBorder="1" applyAlignment="1">
      <alignment horizontal="center"/>
    </xf>
    <xf numFmtId="0" fontId="19" fillId="10" borderId="42" xfId="5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73" fontId="20" fillId="11" borderId="43" xfId="5" applyNumberFormat="1" applyFont="1" applyFill="1" applyBorder="1" applyAlignment="1">
      <alignment horizontal="center"/>
    </xf>
    <xf numFmtId="4" fontId="14" fillId="11" borderId="44" xfId="5" applyNumberFormat="1" applyFill="1" applyBorder="1"/>
    <xf numFmtId="4" fontId="14" fillId="11" borderId="45" xfId="5" applyNumberFormat="1" applyFill="1" applyBorder="1"/>
    <xf numFmtId="173" fontId="20" fillId="11" borderId="46" xfId="5" applyNumberFormat="1" applyFont="1" applyFill="1" applyBorder="1" applyAlignment="1">
      <alignment horizontal="center"/>
    </xf>
    <xf numFmtId="4" fontId="14" fillId="11" borderId="47" xfId="5" applyNumberFormat="1" applyFill="1" applyBorder="1"/>
    <xf numFmtId="4" fontId="14" fillId="11" borderId="48" xfId="5" applyNumberFormat="1" applyFill="1" applyBorder="1"/>
    <xf numFmtId="0" fontId="19" fillId="10" borderId="49" xfId="5" applyFont="1" applyFill="1" applyBorder="1" applyAlignment="1">
      <alignment horizontal="center"/>
    </xf>
    <xf numFmtId="4" fontId="19" fillId="10" borderId="50" xfId="5" applyNumberFormat="1" applyFont="1" applyFill="1" applyBorder="1"/>
    <xf numFmtId="4" fontId="19" fillId="10" borderId="51" xfId="5" applyNumberFormat="1" applyFont="1" applyFill="1" applyBorder="1"/>
    <xf numFmtId="0" fontId="21" fillId="0" borderId="0" xfId="0" applyFont="1"/>
    <xf numFmtId="4" fontId="0" fillId="0" borderId="0" xfId="0" applyNumberFormat="1"/>
    <xf numFmtId="0" fontId="3" fillId="5" borderId="20" xfId="0" applyFont="1" applyFill="1" applyBorder="1" applyAlignment="1">
      <alignment horizontal="center" vertical="center"/>
    </xf>
    <xf numFmtId="0" fontId="14" fillId="5" borderId="20" xfId="5" applyNumberFormat="1" applyFill="1" applyBorder="1" applyAlignment="1">
      <alignment horizontal="center" vertical="center"/>
    </xf>
    <xf numFmtId="4" fontId="0" fillId="5" borderId="20" xfId="0" applyNumberFormat="1" applyFill="1" applyBorder="1" applyAlignment="1">
      <alignment horizontal="center" vertical="center"/>
    </xf>
    <xf numFmtId="49" fontId="16" fillId="10" borderId="52" xfId="0" applyNumberFormat="1" applyFont="1" applyFill="1" applyBorder="1" applyAlignment="1">
      <alignment horizontal="left"/>
    </xf>
    <xf numFmtId="0" fontId="16" fillId="10" borderId="52" xfId="0" applyFont="1" applyFill="1" applyBorder="1" applyAlignment="1">
      <alignment horizontal="center"/>
    </xf>
    <xf numFmtId="1" fontId="16" fillId="10" borderId="52" xfId="0" applyNumberFormat="1" applyFont="1" applyFill="1" applyBorder="1" applyAlignment="1">
      <alignment horizontal="center"/>
    </xf>
    <xf numFmtId="168" fontId="16" fillId="10" borderId="52" xfId="3" applyFont="1" applyFill="1" applyBorder="1" applyAlignment="1">
      <alignment horizontal="center"/>
    </xf>
    <xf numFmtId="173" fontId="16" fillId="10" borderId="52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74" fontId="0" fillId="0" borderId="0" xfId="3" applyNumberFormat="1" applyFont="1" applyFill="1" applyBorder="1"/>
    <xf numFmtId="168" fontId="0" fillId="0" borderId="0" xfId="3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68" fontId="0" fillId="0" borderId="0" xfId="3" applyFont="1" applyFill="1"/>
    <xf numFmtId="175" fontId="0" fillId="0" borderId="0" xfId="6" applyFont="1" applyFill="1"/>
    <xf numFmtId="175" fontId="0" fillId="9" borderId="0" xfId="6" applyFont="1" applyFill="1"/>
    <xf numFmtId="0" fontId="22" fillId="0" borderId="0" xfId="0" applyFont="1" applyAlignment="1">
      <alignment horizontal="left" vertical="center"/>
    </xf>
    <xf numFmtId="168" fontId="22" fillId="0" borderId="0" xfId="3" applyFont="1" applyFill="1" applyBorder="1" applyAlignment="1">
      <alignment horizontal="right" vertical="center"/>
    </xf>
    <xf numFmtId="175" fontId="0" fillId="0" borderId="0" xfId="6" applyFont="1" applyFill="1" applyBorder="1"/>
    <xf numFmtId="168" fontId="0" fillId="0" borderId="0" xfId="0" applyNumberFormat="1"/>
    <xf numFmtId="4" fontId="0" fillId="9" borderId="0" xfId="0" applyNumberFormat="1" applyFill="1"/>
    <xf numFmtId="0" fontId="0" fillId="9" borderId="0" xfId="0" applyFill="1"/>
    <xf numFmtId="168" fontId="0" fillId="9" borderId="0" xfId="0" applyNumberFormat="1" applyFill="1"/>
    <xf numFmtId="174" fontId="0" fillId="0" borderId="0" xfId="0" applyNumberFormat="1"/>
    <xf numFmtId="4" fontId="0" fillId="0" borderId="0" xfId="6" applyNumberFormat="1" applyFont="1" applyFill="1"/>
    <xf numFmtId="4" fontId="0" fillId="9" borderId="0" xfId="6" applyNumberFormat="1" applyFont="1" applyFill="1"/>
    <xf numFmtId="174" fontId="0" fillId="0" borderId="0" xfId="3" applyNumberFormat="1" applyFont="1" applyFill="1" applyBorder="1" applyAlignment="1">
      <alignment horizontal="right"/>
    </xf>
    <xf numFmtId="2" fontId="0" fillId="0" borderId="0" xfId="0" applyNumberFormat="1"/>
    <xf numFmtId="2" fontId="0" fillId="9" borderId="0" xfId="0" applyNumberFormat="1" applyFill="1"/>
    <xf numFmtId="168" fontId="0" fillId="9" borderId="0" xfId="3" applyFont="1" applyFill="1"/>
    <xf numFmtId="168" fontId="23" fillId="9" borderId="0" xfId="3" applyFont="1" applyFill="1"/>
    <xf numFmtId="168" fontId="23" fillId="0" borderId="0" xfId="3" applyFont="1" applyFill="1"/>
    <xf numFmtId="168" fontId="23" fillId="9" borderId="0" xfId="3" applyFont="1" applyFill="1" applyAlignment="1"/>
    <xf numFmtId="49" fontId="23" fillId="0" borderId="0" xfId="0" applyNumberFormat="1" applyFont="1" applyAlignment="1">
      <alignment horizontal="left"/>
    </xf>
    <xf numFmtId="0" fontId="23" fillId="0" borderId="0" xfId="0" applyFont="1"/>
    <xf numFmtId="174" fontId="23" fillId="0" borderId="0" xfId="0" applyNumberFormat="1" applyFont="1"/>
    <xf numFmtId="168" fontId="23" fillId="0" borderId="0" xfId="3" applyFont="1" applyFill="1" applyBorder="1"/>
    <xf numFmtId="14" fontId="23" fillId="0" borderId="0" xfId="0" applyNumberFormat="1" applyFont="1"/>
    <xf numFmtId="0" fontId="23" fillId="0" borderId="0" xfId="0" applyFont="1" applyAlignment="1">
      <alignment horizontal="center"/>
    </xf>
    <xf numFmtId="174" fontId="23" fillId="0" borderId="0" xfId="3" applyNumberFormat="1" applyFont="1" applyFill="1" applyBorder="1"/>
    <xf numFmtId="168" fontId="0" fillId="9" borderId="0" xfId="3" applyFont="1" applyFill="1" applyAlignment="1">
      <alignment wrapText="1"/>
    </xf>
    <xf numFmtId="176" fontId="0" fillId="0" borderId="0" xfId="0" applyNumberFormat="1" applyAlignment="1">
      <alignment horizontal="left"/>
    </xf>
    <xf numFmtId="168" fontId="0" fillId="0" borderId="0" xfId="3" applyFont="1" applyFill="1" applyAlignment="1">
      <alignment horizontal="center"/>
    </xf>
    <xf numFmtId="168" fontId="0" fillId="0" borderId="0" xfId="3" applyFont="1" applyFill="1" applyAlignment="1"/>
    <xf numFmtId="168" fontId="24" fillId="0" borderId="0" xfId="3" applyFont="1" applyFill="1" applyBorder="1" applyAlignment="1" applyProtection="1">
      <alignment vertical="center"/>
      <protection locked="0"/>
    </xf>
    <xf numFmtId="168" fontId="23" fillId="0" borderId="0" xfId="3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177" fontId="0" fillId="0" borderId="0" xfId="0" applyNumberFormat="1" applyAlignment="1">
      <alignment horizontal="left"/>
    </xf>
    <xf numFmtId="174" fontId="0" fillId="0" borderId="0" xfId="0" applyNumberFormat="1" applyAlignment="1">
      <alignment horizontal="right"/>
    </xf>
    <xf numFmtId="43" fontId="0" fillId="9" borderId="0" xfId="0" applyNumberFormat="1" applyFill="1"/>
    <xf numFmtId="168" fontId="0" fillId="0" borderId="0" xfId="3" applyFont="1"/>
    <xf numFmtId="0" fontId="14" fillId="0" borderId="0" xfId="5"/>
    <xf numFmtId="0" fontId="25" fillId="0" borderId="55" xfId="5" applyFont="1" applyBorder="1" applyAlignment="1">
      <alignment horizontal="center" vertical="center" wrapText="1"/>
    </xf>
    <xf numFmtId="0" fontId="25" fillId="0" borderId="56" xfId="5" applyFont="1" applyBorder="1" applyAlignment="1">
      <alignment horizontal="center" vertical="center" wrapText="1"/>
    </xf>
    <xf numFmtId="43" fontId="0" fillId="0" borderId="0" xfId="1" applyFont="1" applyBorder="1"/>
    <xf numFmtId="43" fontId="25" fillId="0" borderId="57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5" fillId="2" borderId="0" xfId="5" applyFont="1" applyFill="1" applyAlignment="1">
      <alignment horizontal="center"/>
    </xf>
    <xf numFmtId="43" fontId="25" fillId="2" borderId="0" xfId="1" applyFont="1" applyFill="1" applyBorder="1"/>
    <xf numFmtId="43" fontId="25" fillId="2" borderId="57" xfId="1" applyFont="1" applyFill="1" applyBorder="1"/>
    <xf numFmtId="4" fontId="14" fillId="0" borderId="0" xfId="5" applyNumberFormat="1"/>
    <xf numFmtId="43" fontId="14" fillId="0" borderId="0" xfId="5" applyNumberFormat="1"/>
    <xf numFmtId="0" fontId="3" fillId="0" borderId="0" xfId="0" applyFont="1"/>
    <xf numFmtId="178" fontId="0" fillId="0" borderId="0" xfId="0" applyNumberFormat="1" applyAlignment="1">
      <alignment horizontal="center"/>
    </xf>
    <xf numFmtId="0" fontId="3" fillId="0" borderId="20" xfId="0" applyFont="1" applyBorder="1"/>
    <xf numFmtId="178" fontId="3" fillId="0" borderId="20" xfId="0" applyNumberFormat="1" applyFont="1" applyBorder="1" applyAlignment="1">
      <alignment horizontal="center"/>
    </xf>
    <xf numFmtId="168" fontId="3" fillId="0" borderId="20" xfId="3" applyFont="1" applyBorder="1"/>
    <xf numFmtId="0" fontId="0" fillId="0" borderId="20" xfId="0" applyBorder="1"/>
    <xf numFmtId="178" fontId="0" fillId="0" borderId="20" xfId="0" applyNumberFormat="1" applyBorder="1" applyAlignment="1">
      <alignment horizontal="center"/>
    </xf>
    <xf numFmtId="168" fontId="0" fillId="0" borderId="20" xfId="3" applyFont="1" applyBorder="1"/>
    <xf numFmtId="0" fontId="0" fillId="5" borderId="20" xfId="0" applyFill="1" applyBorder="1" applyAlignment="1">
      <alignment horizontal="center"/>
    </xf>
    <xf numFmtId="43" fontId="0" fillId="5" borderId="20" xfId="0" applyNumberFormat="1" applyFill="1" applyBorder="1" applyAlignment="1">
      <alignment horizontal="center"/>
    </xf>
    <xf numFmtId="168" fontId="3" fillId="0" borderId="0" xfId="3" applyFont="1"/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25" fillId="5" borderId="0" xfId="5" applyFont="1" applyFill="1" applyAlignment="1">
      <alignment horizontal="center"/>
    </xf>
    <xf numFmtId="43" fontId="25" fillId="5" borderId="0" xfId="1" applyFont="1" applyFill="1" applyBorder="1"/>
    <xf numFmtId="0" fontId="14" fillId="5" borderId="0" xfId="5" applyFont="1" applyFill="1"/>
    <xf numFmtId="0" fontId="25" fillId="5" borderId="0" xfId="5" applyFont="1" applyFill="1"/>
    <xf numFmtId="4" fontId="25" fillId="5" borderId="0" xfId="5" applyNumberFormat="1" applyFont="1" applyFill="1"/>
    <xf numFmtId="43" fontId="3" fillId="5" borderId="0" xfId="1" applyFont="1" applyFill="1" applyBorder="1"/>
    <xf numFmtId="43" fontId="25" fillId="5" borderId="0" xfId="5" applyNumberFormat="1" applyFont="1" applyFill="1"/>
    <xf numFmtId="179" fontId="14" fillId="5" borderId="0" xfId="5" applyNumberFormat="1" applyFont="1" applyFill="1"/>
    <xf numFmtId="180" fontId="14" fillId="5" borderId="0" xfId="5" applyNumberFormat="1" applyFont="1" applyFill="1"/>
    <xf numFmtId="181" fontId="0" fillId="5" borderId="20" xfId="0" applyNumberFormat="1" applyFill="1" applyBorder="1" applyAlignment="1">
      <alignment horizontal="center"/>
    </xf>
    <xf numFmtId="0" fontId="25" fillId="0" borderId="54" xfId="5" applyFont="1" applyBorder="1" applyAlignment="1">
      <alignment horizontal="center"/>
    </xf>
    <xf numFmtId="0" fontId="25" fillId="0" borderId="15" xfId="5" applyFont="1" applyBorder="1" applyAlignment="1">
      <alignment horizontal="center"/>
    </xf>
    <xf numFmtId="0" fontId="25" fillId="0" borderId="7" xfId="5" applyFont="1" applyBorder="1" applyAlignment="1">
      <alignment horizontal="center" vertical="center" wrapText="1"/>
    </xf>
    <xf numFmtId="0" fontId="25" fillId="0" borderId="26" xfId="5" applyFont="1" applyBorder="1" applyAlignment="1">
      <alignment horizontal="center" vertical="center" wrapText="1"/>
    </xf>
    <xf numFmtId="0" fontId="25" fillId="0" borderId="0" xfId="5" applyFont="1" applyAlignment="1">
      <alignment horizontal="center"/>
    </xf>
    <xf numFmtId="0" fontId="25" fillId="0" borderId="53" xfId="5" applyFont="1" applyBorder="1" applyAlignment="1">
      <alignment horizontal="center"/>
    </xf>
    <xf numFmtId="175" fontId="0" fillId="9" borderId="0" xfId="6" applyFont="1" applyFill="1" applyAlignment="1">
      <alignment horizontal="center" vertical="center"/>
    </xf>
    <xf numFmtId="175" fontId="0" fillId="0" borderId="0" xfId="6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4" fontId="3" fillId="6" borderId="18" xfId="0" applyNumberFormat="1" applyFont="1" applyFill="1" applyBorder="1" applyAlignment="1">
      <alignment horizontal="center" vertical="center"/>
    </xf>
    <xf numFmtId="4" fontId="3" fillId="6" borderId="0" xfId="0" applyNumberFormat="1" applyFont="1" applyFill="1" applyAlignment="1">
      <alignment horizontal="center" vertical="center"/>
    </xf>
    <xf numFmtId="1" fontId="3" fillId="6" borderId="1" xfId="3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3" fontId="3" fillId="6" borderId="16" xfId="0" applyNumberFormat="1" applyFont="1" applyFill="1" applyBorder="1" applyAlignment="1">
      <alignment horizontal="center" vertical="center"/>
    </xf>
    <xf numFmtId="168" fontId="3" fillId="6" borderId="2" xfId="3" applyFont="1" applyFill="1" applyBorder="1" applyAlignment="1">
      <alignment horizontal="center" vertical="center"/>
    </xf>
    <xf numFmtId="168" fontId="3" fillId="6" borderId="17" xfId="3" applyFont="1" applyFill="1" applyBorder="1" applyAlignment="1">
      <alignment horizontal="center" vertical="center"/>
    </xf>
    <xf numFmtId="168" fontId="3" fillId="6" borderId="10" xfId="3" applyFont="1" applyFill="1" applyBorder="1" applyAlignment="1">
      <alignment horizontal="center" vertical="center"/>
    </xf>
    <xf numFmtId="168" fontId="3" fillId="6" borderId="3" xfId="3" applyFont="1" applyFill="1" applyBorder="1" applyAlignment="1">
      <alignment horizontal="center" vertical="center"/>
    </xf>
    <xf numFmtId="168" fontId="3" fillId="6" borderId="4" xfId="3" applyFont="1" applyFill="1" applyBorder="1" applyAlignment="1">
      <alignment horizontal="center" vertical="center"/>
    </xf>
    <xf numFmtId="168" fontId="3" fillId="6" borderId="5" xfId="3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Moeda 2" xfId="6"/>
    <cellStyle name="Normal" xfId="0" builtinId="0"/>
    <cellStyle name="Normal 2" xfId="5"/>
    <cellStyle name="Normal 3" xfId="4"/>
    <cellStyle name="Porcentagem" xfId="2" builtinId="5"/>
    <cellStyle name="Vírgula" xfId="1" builtinId="3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camila.cruz\Downloads\Dados%20ARSESP\MEF-2rev_19s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MDM\Projetos\Andamento\ARSESP\Documentos%20Recebidos\Julho%2017%20-%20RTE\MEF-RTE%20NT-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_CTAS_INT"/>
      <sheetName val="PNL_Drivers_INT"/>
      <sheetName val="PROJ_INT"/>
      <sheetName val="params"/>
      <sheetName val="AuxGraf"/>
      <sheetName val="Slides"/>
      <sheetName val="Lookups"/>
      <sheetName val="Mapa do Modelo"/>
      <sheetName val="HojaEscenarios"/>
      <sheetName val="Resumo"/>
      <sheetName val="Relatorio"/>
      <sheetName val="Resumo_Fator_X"/>
      <sheetName val="IndicadoresF."/>
      <sheetName val="Salida"/>
      <sheetName val="PAINEL"/>
      <sheetName val="PNL_CTAS2010"/>
      <sheetName val="PNL_CTAS_2012"/>
      <sheetName val="PNL_Dados"/>
      <sheetName val="DepContábil"/>
      <sheetName val="CF --&gt;"/>
      <sheetName val="CF"/>
      <sheetName val="CF_Unificado"/>
      <sheetName val="Fluxo_caixa alternativo"/>
      <sheetName val="BdK altern"/>
      <sheetName val="BG altern"/>
      <sheetName val="CAPEX altern"/>
      <sheetName val="Fluxo_caixa"/>
      <sheetName val="BG aux"/>
      <sheetName val="BdK aux"/>
      <sheetName val="Dem Rece --&gt;"/>
      <sheetName val="INPUT_DEMANDA"/>
      <sheetName val="DEMANDA"/>
      <sheetName val="RECEITAS"/>
      <sheetName val="CAPEX --&gt;"/>
      <sheetName val="cenarios"/>
      <sheetName val="INPUT_CAPEX"/>
      <sheetName val="INPUT_INCORP"/>
      <sheetName val="BG"/>
      <sheetName val="BdK"/>
      <sheetName val="BRR - Cenário DEZ16"/>
      <sheetName val="invest_jul-dez"/>
      <sheetName val="CAPEX"/>
      <sheetName val="OPEX --&gt;"/>
      <sheetName val="Glosas"/>
      <sheetName val="INPUT_OPEX"/>
      <sheetName val="PROJ"/>
      <sheetName val="DRIVERS"/>
      <sheetName val="PNL_OPEX"/>
      <sheetName val="OPEX_ATRI"/>
      <sheetName val="OPEX"/>
      <sheetName val="Contab --&gt;"/>
      <sheetName val="ER"/>
      <sheetName val="Dívida"/>
    </sheetNames>
    <sheetDataSet>
      <sheetData sheetId="0" refreshError="1"/>
      <sheetData sheetId="1" refreshError="1"/>
      <sheetData sheetId="2" refreshError="1"/>
      <sheetData sheetId="3">
        <row r="2">
          <cell r="B2">
            <v>2016</v>
          </cell>
        </row>
        <row r="3">
          <cell r="B3">
            <v>2020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0">
          <cell r="K30">
            <v>7.8887961748448365E-2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_CTAS_INT"/>
      <sheetName val="PNL_Drivers_INT"/>
      <sheetName val="PROJ_INT"/>
      <sheetName val="PROJ"/>
      <sheetName val="params"/>
      <sheetName val="AuxGraf"/>
      <sheetName val="Slides"/>
      <sheetName val="Lookups"/>
      <sheetName val="Mapa do Modelo"/>
      <sheetName val="HojaEscenarios"/>
      <sheetName val="Resumo"/>
      <sheetName val="Relatorio"/>
      <sheetName val="IndicadoresF."/>
      <sheetName val="Salida"/>
      <sheetName val="PAINEL"/>
      <sheetName val="PNL_OPEX"/>
      <sheetName val="PNL_CTAS2010"/>
      <sheetName val="PNL_CTAS"/>
      <sheetName val="PNL_Dados"/>
      <sheetName val="CF --&gt;"/>
      <sheetName val="CF"/>
      <sheetName val="CF_Unificado"/>
      <sheetName val="Dem Rece --&gt;"/>
      <sheetName val="INPUT_DEMANDA"/>
      <sheetName val="DEMANDA"/>
      <sheetName val="RECEITAS"/>
      <sheetName val="CAPEX --&gt;"/>
      <sheetName val="INPUT_CAPEX"/>
      <sheetName val="BdK"/>
      <sheetName val="CAPEX"/>
      <sheetName val="OPEX --&gt;"/>
      <sheetName val="INPUT_OPEX"/>
      <sheetName val="OPEX_ATRI"/>
      <sheetName val="OPEX"/>
      <sheetName val="DRIVERS"/>
      <sheetName val="Contab --&gt;"/>
      <sheetName val="ER"/>
      <sheetName val="Dívida"/>
      <sheetName val="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2012</v>
          </cell>
        </row>
        <row r="5">
          <cell r="B5">
            <v>0.33607137512074525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workbookViewId="0">
      <pane xSplit="1" topLeftCell="I1" activePane="topRight" state="frozen"/>
      <selection pane="topRight" activeCell="Q9" sqref="Q9"/>
    </sheetView>
  </sheetViews>
  <sheetFormatPr defaultColWidth="8.85546875" defaultRowHeight="12.75"/>
  <cols>
    <col min="1" max="1" width="44.7109375" style="330" bestFit="1" customWidth="1"/>
    <col min="2" max="2" width="14.140625" style="330" bestFit="1" customWidth="1"/>
    <col min="3" max="3" width="12.85546875" style="330" bestFit="1" customWidth="1"/>
    <col min="4" max="4" width="15.28515625" style="330" bestFit="1" customWidth="1"/>
    <col min="5" max="6" width="14" style="330" bestFit="1" customWidth="1"/>
    <col min="7" max="7" width="12.85546875" style="330" bestFit="1" customWidth="1"/>
    <col min="8" max="8" width="15.28515625" style="330" bestFit="1" customWidth="1"/>
    <col min="9" max="9" width="14" style="330" bestFit="1" customWidth="1"/>
    <col min="10" max="10" width="14.140625" style="330" bestFit="1" customWidth="1"/>
    <col min="11" max="11" width="12.85546875" style="330" bestFit="1" customWidth="1"/>
    <col min="12" max="12" width="12.85546875" style="330" customWidth="1"/>
    <col min="13" max="13" width="14" style="330" bestFit="1" customWidth="1"/>
    <col min="14" max="14" width="13.85546875" style="330" customWidth="1"/>
    <col min="15" max="15" width="13.140625" style="330" customWidth="1"/>
    <col min="16" max="16" width="15.28515625" style="330" bestFit="1" customWidth="1"/>
    <col min="17" max="18" width="14" style="330" bestFit="1" customWidth="1"/>
    <col min="19" max="20" width="12.85546875" style="330" bestFit="1" customWidth="1"/>
    <col min="21" max="21" width="14" style="330" bestFit="1" customWidth="1"/>
    <col min="22" max="16384" width="8.85546875" style="330"/>
  </cols>
  <sheetData>
    <row r="1" spans="1:21" ht="13.5" thickBot="1">
      <c r="A1" s="368" t="s">
        <v>656</v>
      </c>
      <c r="B1" s="367">
        <v>2017</v>
      </c>
      <c r="C1" s="367"/>
      <c r="D1" s="370"/>
      <c r="E1" s="371"/>
      <c r="F1" s="366">
        <v>2018</v>
      </c>
      <c r="G1" s="367"/>
      <c r="H1" s="370"/>
      <c r="I1" s="371"/>
      <c r="J1" s="366">
        <v>2019</v>
      </c>
      <c r="K1" s="367"/>
      <c r="L1" s="370"/>
      <c r="M1" s="371"/>
      <c r="N1" s="366">
        <v>2020</v>
      </c>
      <c r="O1" s="367"/>
      <c r="P1" s="367"/>
      <c r="Q1" s="367"/>
      <c r="R1" s="366">
        <v>2021</v>
      </c>
      <c r="S1" s="367"/>
      <c r="T1" s="367"/>
      <c r="U1" s="367"/>
    </row>
    <row r="2" spans="1:21" ht="39" thickTop="1">
      <c r="A2" s="369"/>
      <c r="B2" s="331" t="s">
        <v>279</v>
      </c>
      <c r="C2" s="331" t="s">
        <v>657</v>
      </c>
      <c r="D2" s="331" t="s">
        <v>658</v>
      </c>
      <c r="E2" s="332" t="s">
        <v>7</v>
      </c>
      <c r="F2" s="331" t="s">
        <v>279</v>
      </c>
      <c r="G2" s="331" t="s">
        <v>657</v>
      </c>
      <c r="H2" s="331" t="s">
        <v>658</v>
      </c>
      <c r="I2" s="332" t="s">
        <v>7</v>
      </c>
      <c r="J2" s="331" t="s">
        <v>279</v>
      </c>
      <c r="K2" s="331" t="s">
        <v>657</v>
      </c>
      <c r="L2" s="331" t="s">
        <v>658</v>
      </c>
      <c r="M2" s="332" t="s">
        <v>7</v>
      </c>
      <c r="N2" s="331" t="s">
        <v>279</v>
      </c>
      <c r="O2" s="331" t="s">
        <v>657</v>
      </c>
      <c r="P2" s="331" t="s">
        <v>658</v>
      </c>
      <c r="Q2" s="332" t="s">
        <v>7</v>
      </c>
      <c r="R2" s="331" t="s">
        <v>279</v>
      </c>
      <c r="S2" s="331" t="s">
        <v>657</v>
      </c>
      <c r="T2" s="331" t="s">
        <v>658</v>
      </c>
      <c r="U2" s="332" t="s">
        <v>7</v>
      </c>
    </row>
    <row r="3" spans="1:21" ht="15">
      <c r="A3" s="330" t="s">
        <v>659</v>
      </c>
      <c r="B3" s="333">
        <v>32538317.740000002</v>
      </c>
      <c r="C3" s="333">
        <v>162712.72999999998</v>
      </c>
      <c r="D3" s="333">
        <v>2947514.1199999992</v>
      </c>
      <c r="E3" s="334">
        <f>SUM(B3:D3)</f>
        <v>35648544.590000004</v>
      </c>
      <c r="F3" s="333">
        <v>27372358.449999999</v>
      </c>
      <c r="G3" s="333">
        <v>1744739.7800000007</v>
      </c>
      <c r="H3" s="333">
        <v>7796628.240000003</v>
      </c>
      <c r="I3" s="334">
        <f>SUM(F3:H3)</f>
        <v>36913726.470000006</v>
      </c>
      <c r="J3" s="333">
        <v>2229414.3800000004</v>
      </c>
      <c r="K3" s="333">
        <v>114757.21000000002</v>
      </c>
      <c r="L3" s="333">
        <v>1899521.48</v>
      </c>
      <c r="M3" s="334">
        <f>SUM(J3:L3)</f>
        <v>4243693.07</v>
      </c>
      <c r="N3" s="335">
        <v>1719040.1999999995</v>
      </c>
      <c r="O3" s="336">
        <v>111175.37000000017</v>
      </c>
      <c r="P3" s="335">
        <v>2012279.8100000003</v>
      </c>
      <c r="Q3" s="334">
        <f>SUM(N3:P3)</f>
        <v>3842495.38</v>
      </c>
      <c r="R3" s="335">
        <v>2203204.8899999997</v>
      </c>
      <c r="S3" s="336">
        <v>1134363.5599999998</v>
      </c>
      <c r="T3" s="335">
        <v>2165408.5999999992</v>
      </c>
      <c r="U3" s="334">
        <f>SUM(R3:T3)</f>
        <v>5502977.0499999989</v>
      </c>
    </row>
    <row r="4" spans="1:21" ht="15">
      <c r="A4" s="330" t="s">
        <v>660</v>
      </c>
      <c r="B4" s="333">
        <v>10237315.58</v>
      </c>
      <c r="C4" s="333">
        <v>1352201.7600000002</v>
      </c>
      <c r="D4" s="333">
        <v>629391.37</v>
      </c>
      <c r="E4" s="334">
        <f>SUM(B4:D4)</f>
        <v>12218908.709999999</v>
      </c>
      <c r="F4" s="333">
        <v>10593906.870000001</v>
      </c>
      <c r="G4" s="333">
        <v>1486862.4700000002</v>
      </c>
      <c r="H4" s="333">
        <v>755583.52</v>
      </c>
      <c r="I4" s="334">
        <f>SUM(F4:H4)</f>
        <v>12836352.860000001</v>
      </c>
      <c r="J4" s="333">
        <v>226839.23</v>
      </c>
      <c r="K4" s="333">
        <v>2844.74</v>
      </c>
      <c r="L4" s="333">
        <v>0</v>
      </c>
      <c r="M4" s="334">
        <f t="shared" ref="M4:M6" si="0">SUM(J4:L4)</f>
        <v>229683.97</v>
      </c>
      <c r="N4" s="335">
        <v>406244.14999999997</v>
      </c>
      <c r="O4" s="335">
        <v>13549.09</v>
      </c>
      <c r="P4" s="335">
        <v>0</v>
      </c>
      <c r="Q4" s="334">
        <f>SUM(N4:P4)</f>
        <v>419793.24</v>
      </c>
      <c r="R4" s="335">
        <v>321783.11</v>
      </c>
      <c r="S4" s="335">
        <v>14044.570000000002</v>
      </c>
      <c r="T4" s="335">
        <v>0</v>
      </c>
      <c r="U4" s="334">
        <f t="shared" ref="U4:U6" si="1">SUM(R4:T4)</f>
        <v>335827.68</v>
      </c>
    </row>
    <row r="5" spans="1:21" ht="14.45">
      <c r="A5" s="330" t="s">
        <v>661</v>
      </c>
      <c r="B5" s="333">
        <v>0</v>
      </c>
      <c r="C5" s="333">
        <v>0</v>
      </c>
      <c r="D5" s="333">
        <v>0</v>
      </c>
      <c r="E5" s="334">
        <f>SUM(B5:D5)</f>
        <v>0</v>
      </c>
      <c r="F5" s="333">
        <v>0</v>
      </c>
      <c r="G5" s="333">
        <v>0</v>
      </c>
      <c r="H5" s="333">
        <v>0</v>
      </c>
      <c r="I5" s="334">
        <f>SUM(F5:H5)</f>
        <v>0</v>
      </c>
      <c r="J5" s="333">
        <v>33157317.629999995</v>
      </c>
      <c r="K5" s="333">
        <v>8025519.7800000049</v>
      </c>
      <c r="L5" s="333">
        <v>7174141.830000001</v>
      </c>
      <c r="M5" s="334">
        <f>SUM(J5:L5)</f>
        <v>48356979.239999995</v>
      </c>
      <c r="N5" s="333">
        <v>30962623.699999999</v>
      </c>
      <c r="O5" s="333">
        <v>7692651.6199999945</v>
      </c>
      <c r="P5" s="333">
        <v>7333204.6899999967</v>
      </c>
      <c r="Q5" s="334">
        <f>SUM(N5:P5)</f>
        <v>45988480.00999999</v>
      </c>
      <c r="R5" s="333">
        <v>30467610.260000009</v>
      </c>
      <c r="S5" s="333">
        <v>6167471.9400000004</v>
      </c>
      <c r="T5" s="333">
        <v>7825684.3700000066</v>
      </c>
      <c r="U5" s="334">
        <f t="shared" si="1"/>
        <v>44460766.570000015</v>
      </c>
    </row>
    <row r="6" spans="1:21" ht="14.45">
      <c r="A6" s="330" t="s">
        <v>662</v>
      </c>
      <c r="B6" s="333">
        <v>0</v>
      </c>
      <c r="C6" s="333">
        <v>0</v>
      </c>
      <c r="D6" s="333">
        <v>0</v>
      </c>
      <c r="E6" s="334">
        <f>SUM(B6:D6)</f>
        <v>0</v>
      </c>
      <c r="F6" s="333">
        <v>0</v>
      </c>
      <c r="G6" s="333">
        <v>0</v>
      </c>
      <c r="H6" s="333">
        <v>0</v>
      </c>
      <c r="I6" s="334">
        <f>SUM(F6:H6)</f>
        <v>0</v>
      </c>
      <c r="J6" s="333">
        <v>7268458.0999999996</v>
      </c>
      <c r="K6" s="333">
        <v>0</v>
      </c>
      <c r="L6" s="333">
        <v>0</v>
      </c>
      <c r="M6" s="334">
        <f t="shared" si="0"/>
        <v>7268458.0999999996</v>
      </c>
      <c r="N6" s="333">
        <v>5231810.2500000009</v>
      </c>
      <c r="O6" s="333">
        <v>0</v>
      </c>
      <c r="P6" s="333">
        <v>0</v>
      </c>
      <c r="Q6" s="334">
        <f>SUM(N6:P6)</f>
        <v>5231810.2500000009</v>
      </c>
      <c r="R6" s="333">
        <v>1822.71</v>
      </c>
      <c r="S6" s="333"/>
      <c r="T6" s="333"/>
      <c r="U6" s="334">
        <f t="shared" si="1"/>
        <v>1822.71</v>
      </c>
    </row>
    <row r="7" spans="1:21" ht="13.15">
      <c r="A7" s="337" t="s">
        <v>7</v>
      </c>
      <c r="B7" s="338">
        <f>SUM(B3:B4)</f>
        <v>42775633.32</v>
      </c>
      <c r="C7" s="338">
        <f>SUM(C3:C4)</f>
        <v>1514914.4900000002</v>
      </c>
      <c r="D7" s="338">
        <f>SUM(D3:D4)</f>
        <v>3576905.4899999993</v>
      </c>
      <c r="E7" s="339">
        <f>SUM(B7:D7)</f>
        <v>47867453.300000004</v>
      </c>
      <c r="F7" s="338">
        <f>SUM(F3:F4)</f>
        <v>37966265.32</v>
      </c>
      <c r="G7" s="338">
        <f>SUM(G3:G4)</f>
        <v>3231602.2500000009</v>
      </c>
      <c r="H7" s="338">
        <f>SUM(H3:H4)</f>
        <v>8552211.7600000035</v>
      </c>
      <c r="I7" s="339">
        <f>SUM(I3:I4)</f>
        <v>49750079.330000006</v>
      </c>
      <c r="J7" s="338">
        <f>SUM(J3:J6)</f>
        <v>42882029.339999996</v>
      </c>
      <c r="K7" s="338">
        <f>SUM(K3:K6)</f>
        <v>8143121.7300000051</v>
      </c>
      <c r="L7" s="338">
        <f>SUM(L3:L6)</f>
        <v>9073663.3100000005</v>
      </c>
      <c r="M7" s="338">
        <f>SUM(M3:M6)</f>
        <v>60098814.379999995</v>
      </c>
      <c r="N7" s="338">
        <f>SUM(N5:N6)</f>
        <v>36194433.950000003</v>
      </c>
      <c r="O7" s="338">
        <f>SUM(O5:O6)</f>
        <v>7692651.6199999945</v>
      </c>
      <c r="P7" s="338">
        <f>SUM(P5:P6)</f>
        <v>7333204.6899999967</v>
      </c>
      <c r="Q7" s="338">
        <f>SUM(Q3:Q6)</f>
        <v>55482578.879999988</v>
      </c>
      <c r="R7" s="338">
        <f>SUM(R5:R6)</f>
        <v>30469432.97000001</v>
      </c>
      <c r="S7" s="338">
        <f>SUM(S5:S6)</f>
        <v>6167471.9400000004</v>
      </c>
      <c r="T7" s="338">
        <f>SUM(T5:T6)</f>
        <v>7825684.3700000066</v>
      </c>
      <c r="U7" s="338">
        <f>SUM(U3:U6)</f>
        <v>50301394.010000013</v>
      </c>
    </row>
    <row r="8" spans="1:21" s="358" customFormat="1">
      <c r="A8" s="356" t="s">
        <v>720</v>
      </c>
      <c r="E8" s="363">
        <v>1.1359878999999999</v>
      </c>
      <c r="I8" s="364">
        <v>1.0918143</v>
      </c>
      <c r="M8" s="364">
        <v>1.0571929</v>
      </c>
      <c r="Q8" s="358">
        <v>1</v>
      </c>
    </row>
    <row r="9" spans="1:21" s="359" customFormat="1" ht="14.45">
      <c r="A9" s="356" t="s">
        <v>721</v>
      </c>
      <c r="B9" s="357"/>
      <c r="C9" s="357"/>
      <c r="D9" s="357"/>
      <c r="E9" s="357">
        <f>E8*E7</f>
        <v>54376847.752615072</v>
      </c>
      <c r="I9" s="360">
        <f>I8*I7</f>
        <v>54317848.038628429</v>
      </c>
      <c r="J9" s="361"/>
      <c r="M9" s="360">
        <f>M8*M7</f>
        <v>63536039.860953897</v>
      </c>
      <c r="N9" s="362"/>
      <c r="Q9" s="360">
        <f>Q7*Q8</f>
        <v>55482578.879999988</v>
      </c>
    </row>
    <row r="10" spans="1:21" ht="13.15">
      <c r="E10" s="341"/>
      <c r="I10" s="341"/>
      <c r="Q10" s="340"/>
      <c r="U10" s="340"/>
    </row>
    <row r="11" spans="1:21" ht="13.15">
      <c r="Q11" s="340"/>
    </row>
    <row r="12" spans="1:21" ht="13.15">
      <c r="M12" s="340"/>
      <c r="Q12" s="341"/>
      <c r="U12" s="341"/>
    </row>
    <row r="13" spans="1:21" ht="13.15">
      <c r="M13" s="340"/>
      <c r="N13" s="341"/>
    </row>
  </sheetData>
  <mergeCells count="6">
    <mergeCell ref="R1:U1"/>
    <mergeCell ref="A1:A2"/>
    <mergeCell ref="B1:E1"/>
    <mergeCell ref="F1:I1"/>
    <mergeCell ref="J1:M1"/>
    <mergeCell ref="N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2:N25"/>
  <sheetViews>
    <sheetView showGridLines="0" tabSelected="1" topLeftCell="A2" zoomScale="90" zoomScaleNormal="90" workbookViewId="0">
      <pane xSplit="2" ySplit="3" topLeftCell="C5" activePane="bottomRight" state="frozen"/>
      <selection activeCell="B1" sqref="B1"/>
      <selection pane="topRight" activeCell="B1" sqref="B1"/>
      <selection pane="bottomLeft" activeCell="B1" sqref="B1"/>
      <selection pane="bottomRight" activeCell="J16" sqref="J16"/>
    </sheetView>
  </sheetViews>
  <sheetFormatPr defaultColWidth="9.28515625" defaultRowHeight="16.5"/>
  <cols>
    <col min="1" max="1" width="3.7109375" style="2" customWidth="1"/>
    <col min="2" max="2" width="32.7109375" style="2" bestFit="1" customWidth="1"/>
    <col min="3" max="6" width="15.28515625" style="2" customWidth="1"/>
    <col min="7" max="10" width="15.140625" style="2" customWidth="1"/>
    <col min="11" max="11" width="16" style="2" bestFit="1" customWidth="1"/>
    <col min="12" max="13" width="14.5703125" style="2" bestFit="1" customWidth="1"/>
    <col min="14" max="16384" width="9.28515625" style="2"/>
  </cols>
  <sheetData>
    <row r="2" spans="2:14">
      <c r="B2" s="1" t="s">
        <v>0</v>
      </c>
    </row>
    <row r="3" spans="2:14">
      <c r="C3" s="3"/>
      <c r="D3" s="3"/>
      <c r="E3" s="3"/>
      <c r="F3" s="3"/>
      <c r="G3" s="4"/>
      <c r="H3" s="5"/>
      <c r="I3" s="5"/>
      <c r="J3" s="5"/>
    </row>
    <row r="4" spans="2:14">
      <c r="B4" s="6" t="s">
        <v>1</v>
      </c>
      <c r="C4" s="7">
        <v>2017</v>
      </c>
      <c r="D4" s="7">
        <f>C4+1</f>
        <v>2018</v>
      </c>
      <c r="E4" s="7">
        <f t="shared" ref="E4:J4" si="0">D4+1</f>
        <v>2019</v>
      </c>
      <c r="F4" s="7">
        <f t="shared" si="0"/>
        <v>2020</v>
      </c>
      <c r="G4" s="7">
        <f t="shared" si="0"/>
        <v>2021</v>
      </c>
      <c r="H4" s="7">
        <f t="shared" si="0"/>
        <v>2022</v>
      </c>
      <c r="I4" s="7">
        <f t="shared" si="0"/>
        <v>2023</v>
      </c>
      <c r="J4" s="7">
        <f t="shared" si="0"/>
        <v>2024</v>
      </c>
    </row>
    <row r="5" spans="2:14">
      <c r="B5" s="8" t="s">
        <v>2</v>
      </c>
      <c r="C5" s="9">
        <f>AuxOPEXProj!F63</f>
        <v>1172957835.8532784</v>
      </c>
      <c r="D5" s="9">
        <f>AuxOPEXProj!G63</f>
        <v>1091185566.2668257</v>
      </c>
      <c r="E5" s="9">
        <f>AuxOPEXProj!H63</f>
        <v>1117353796.2153711</v>
      </c>
      <c r="F5" s="9">
        <f>AuxOPEXProj!I63</f>
        <v>1174786345.0899999</v>
      </c>
      <c r="G5" s="9">
        <f>AuxOPEXProj!M63</f>
        <v>1137237974.8843293</v>
      </c>
      <c r="H5" s="9">
        <f>AuxOPEXProj!N63</f>
        <v>1150166393.4844677</v>
      </c>
      <c r="I5" s="9">
        <f>AuxOPEXProj!O63</f>
        <v>1164303090.8234487</v>
      </c>
      <c r="J5" s="9">
        <f>AuxOPEXProj!P63</f>
        <v>1174726828.3690248</v>
      </c>
      <c r="L5" s="10"/>
      <c r="M5" s="10"/>
      <c r="N5" s="11"/>
    </row>
    <row r="6" spans="2:14">
      <c r="B6" s="8" t="s">
        <v>3</v>
      </c>
      <c r="C6" s="9">
        <f>AuxOPEXProj!F64</f>
        <v>84517994.380491525</v>
      </c>
      <c r="D6" s="9">
        <f>AuxOPEXProj!G64</f>
        <v>78513071.07913065</v>
      </c>
      <c r="E6" s="9">
        <f>AuxOPEXProj!H64</f>
        <v>87444380.055940628</v>
      </c>
      <c r="F6" s="9">
        <f>AuxOPEXProj!I64</f>
        <v>71400133.200000003</v>
      </c>
      <c r="G6" s="9">
        <f>AuxOPEXProj!M64</f>
        <v>70756479.334037334</v>
      </c>
      <c r="H6" s="9">
        <f>AuxOPEXProj!N64</f>
        <v>71611308.131887078</v>
      </c>
      <c r="I6" s="9">
        <f>AuxOPEXProj!O64</f>
        <v>72552726.58754696</v>
      </c>
      <c r="J6" s="9">
        <f>AuxOPEXProj!P64</f>
        <v>73285645.268495947</v>
      </c>
      <c r="L6" s="10"/>
      <c r="M6" s="10"/>
      <c r="N6" s="11"/>
    </row>
    <row r="7" spans="2:14">
      <c r="B7" s="8" t="s">
        <v>4</v>
      </c>
      <c r="C7" s="9">
        <f>AuxOPEXProj!F65</f>
        <v>93482371.801189035</v>
      </c>
      <c r="D7" s="9">
        <f>AuxOPEXProj!G65</f>
        <v>86501261.795470014</v>
      </c>
      <c r="E7" s="9">
        <f>AuxOPEXProj!H65</f>
        <v>126753139.95327476</v>
      </c>
      <c r="F7" s="9">
        <f>AuxOPEXProj!I65</f>
        <v>143969407.82999992</v>
      </c>
      <c r="G7" s="9">
        <f>AuxOPEXProj!M65</f>
        <v>110262597.60595268</v>
      </c>
      <c r="H7" s="9">
        <f>AuxOPEXProj!N65</f>
        <v>114724044.55013338</v>
      </c>
      <c r="I7" s="9">
        <f>AuxOPEXProj!O65</f>
        <v>119113115.59811699</v>
      </c>
      <c r="J7" s="9">
        <f>AuxOPEXProj!P65</f>
        <v>121638942.96764502</v>
      </c>
      <c r="L7" s="10"/>
      <c r="M7" s="10"/>
      <c r="N7" s="11"/>
    </row>
    <row r="8" spans="2:14">
      <c r="B8" s="8" t="s">
        <v>5</v>
      </c>
      <c r="C8" s="9">
        <f>AuxOPEXProj!F66</f>
        <v>614135660.35768139</v>
      </c>
      <c r="D8" s="9">
        <f>AuxOPEXProj!G66</f>
        <v>639045197.22100949</v>
      </c>
      <c r="E8" s="9">
        <f>AuxOPEXProj!H66</f>
        <v>639494652.4597702</v>
      </c>
      <c r="F8" s="9">
        <f>AuxOPEXProj!I66</f>
        <v>630003147.4600004</v>
      </c>
      <c r="G8" s="9">
        <f>AuxOPEXProj!M66</f>
        <v>611133744.34553576</v>
      </c>
      <c r="H8" s="9">
        <f>AuxOPEXProj!N66</f>
        <v>625235405.34482133</v>
      </c>
      <c r="I8" s="9">
        <f>AuxOPEXProj!O66</f>
        <v>639408827.12207413</v>
      </c>
      <c r="J8" s="9">
        <f>AuxOPEXProj!P66</f>
        <v>651475650.39017546</v>
      </c>
      <c r="L8" s="10"/>
      <c r="M8" s="10"/>
      <c r="N8" s="11"/>
    </row>
    <row r="9" spans="2:14">
      <c r="B9" s="8" t="s">
        <v>18</v>
      </c>
      <c r="C9" s="9">
        <f>AuxOPEXProj!F67</f>
        <v>430308600.56827569</v>
      </c>
      <c r="D9" s="9">
        <f>AuxOPEXProj!G67</f>
        <v>463921577.2092346</v>
      </c>
      <c r="E9" s="9">
        <f>AuxOPEXProj!H67</f>
        <v>500786032.96987611</v>
      </c>
      <c r="F9" s="9">
        <f>AuxOPEXProj!I67</f>
        <v>448466281.68000001</v>
      </c>
      <c r="G9" s="9">
        <f>AuxOPEXProj!M67</f>
        <v>440099321.14782667</v>
      </c>
      <c r="H9" s="9">
        <f>AuxOPEXProj!N67</f>
        <v>455227335.8514114</v>
      </c>
      <c r="I9" s="9">
        <f>AuxOPEXProj!O67</f>
        <v>470944836.67171574</v>
      </c>
      <c r="J9" s="9">
        <f>AuxOPEXProj!P67</f>
        <v>478222874.59505719</v>
      </c>
      <c r="L9" s="10"/>
      <c r="M9" s="10"/>
      <c r="N9" s="11"/>
    </row>
    <row r="10" spans="2:14">
      <c r="B10" s="8" t="s">
        <v>6</v>
      </c>
      <c r="C10" s="9">
        <f>AuxOPEXProj!F68</f>
        <v>-21598686.870713748</v>
      </c>
      <c r="D10" s="9">
        <f>AuxOPEXProj!G68</f>
        <v>-36746092.778542086</v>
      </c>
      <c r="E10" s="9">
        <f>AuxOPEXProj!H68</f>
        <v>-63779037.583681896</v>
      </c>
      <c r="F10" s="9">
        <f>AuxOPEXProj!I68</f>
        <v>-48391881.760000028</v>
      </c>
      <c r="G10" s="9">
        <f>AuxOPEXProj!M68</f>
        <v>-49625127.481443211</v>
      </c>
      <c r="H10" s="9">
        <f>AuxOPEXProj!N68</f>
        <v>-50260058.866261669</v>
      </c>
      <c r="I10" s="9">
        <f>AuxOPEXProj!O68</f>
        <v>-50941726.708234116</v>
      </c>
      <c r="J10" s="9">
        <f>AuxOPEXProj!P68</f>
        <v>-51526429.193831511</v>
      </c>
      <c r="L10" s="10"/>
      <c r="M10" s="10"/>
      <c r="N10" s="11"/>
    </row>
    <row r="11" spans="2:14">
      <c r="B11" s="176" t="s">
        <v>655</v>
      </c>
      <c r="C11" s="258">
        <f>AlugueisReal!E9+LeasingLitoralRal!K3</f>
        <v>63928343.752615072</v>
      </c>
      <c r="D11" s="258">
        <f>AlugueisReal!I9+LeasingLitoralRal!K4</f>
        <v>82133107.208628431</v>
      </c>
      <c r="E11" s="258">
        <f>AlugueisReal!M9+LeasingLitoralRal!K5</f>
        <v>98419542.580953896</v>
      </c>
      <c r="F11" s="258">
        <f>AlugueisReal!Q9+LeasingLitoralRal!K6</f>
        <v>91561738.279999986</v>
      </c>
      <c r="G11" s="9">
        <f>AuxOPEXProj!M69</f>
        <v>63710910.84375117</v>
      </c>
      <c r="H11" s="9">
        <f>AuxOPEXProj!N69</f>
        <v>86513701.564079896</v>
      </c>
      <c r="I11" s="9">
        <f>AuxOPEXProj!O69</f>
        <v>111215883.1241052</v>
      </c>
      <c r="J11" s="9">
        <f>AuxOPEXProj!P69</f>
        <v>124123338.18960226</v>
      </c>
      <c r="L11" s="10"/>
      <c r="M11" s="10"/>
      <c r="N11" s="11"/>
    </row>
    <row r="12" spans="2:14">
      <c r="B12" s="12" t="s">
        <v>7</v>
      </c>
      <c r="C12" s="218">
        <f t="shared" ref="C12:J12" si="1">SUM(C5:C11)</f>
        <v>2437732119.8428168</v>
      </c>
      <c r="D12" s="218">
        <f t="shared" si="1"/>
        <v>2404553688.0017571</v>
      </c>
      <c r="E12" s="218">
        <f t="shared" si="1"/>
        <v>2506472506.651505</v>
      </c>
      <c r="F12" s="218">
        <f t="shared" si="1"/>
        <v>2511795171.7800002</v>
      </c>
      <c r="G12" s="218">
        <f t="shared" si="1"/>
        <v>2383575900.6799893</v>
      </c>
      <c r="H12" s="218">
        <f t="shared" si="1"/>
        <v>2453218130.0605392</v>
      </c>
      <c r="I12" s="218">
        <f t="shared" si="1"/>
        <v>2526596753.2187734</v>
      </c>
      <c r="J12" s="218">
        <f t="shared" si="1"/>
        <v>2571946850.5861692</v>
      </c>
      <c r="K12" s="10"/>
      <c r="L12" s="10"/>
      <c r="M12" s="10"/>
      <c r="N12" s="11"/>
    </row>
    <row r="13" spans="2:14">
      <c r="B13" s="12" t="s">
        <v>8</v>
      </c>
      <c r="C13" s="218">
        <f t="shared" ref="C13:J13" si="2">C12-C5</f>
        <v>1264774283.9895384</v>
      </c>
      <c r="D13" s="218">
        <f t="shared" si="2"/>
        <v>1313368121.7349315</v>
      </c>
      <c r="E13" s="218">
        <f t="shared" si="2"/>
        <v>1389118710.4361339</v>
      </c>
      <c r="F13" s="218">
        <f t="shared" si="2"/>
        <v>1337008826.6900003</v>
      </c>
      <c r="G13" s="13">
        <f t="shared" si="2"/>
        <v>1246337925.79566</v>
      </c>
      <c r="H13" s="13">
        <f t="shared" si="2"/>
        <v>1303051736.5760715</v>
      </c>
      <c r="I13" s="13">
        <f t="shared" si="2"/>
        <v>1362293662.3953247</v>
      </c>
      <c r="J13" s="13">
        <f t="shared" si="2"/>
        <v>1397220022.2171445</v>
      </c>
    </row>
    <row r="14" spans="2:14">
      <c r="G14" s="392"/>
      <c r="H14" s="392"/>
      <c r="I14" s="392"/>
      <c r="J14" s="392"/>
    </row>
    <row r="15" spans="2:14">
      <c r="C15" s="14"/>
      <c r="D15" s="14"/>
      <c r="E15" s="14"/>
      <c r="F15" s="14"/>
    </row>
    <row r="17" spans="3:11">
      <c r="G17" s="256"/>
      <c r="H17" s="256"/>
      <c r="I17" s="256"/>
      <c r="J17" s="256"/>
    </row>
    <row r="18" spans="3:11">
      <c r="G18" s="256"/>
      <c r="H18" s="256"/>
      <c r="I18" s="256"/>
      <c r="J18" s="256"/>
    </row>
    <row r="19" spans="3:11">
      <c r="G19" s="256"/>
      <c r="H19" s="256"/>
      <c r="I19" s="256"/>
      <c r="J19" s="256"/>
    </row>
    <row r="20" spans="3:11">
      <c r="C20" s="14"/>
      <c r="D20" s="14"/>
      <c r="E20" s="14"/>
      <c r="F20" s="14"/>
      <c r="G20" s="256"/>
      <c r="H20" s="256"/>
      <c r="I20" s="256"/>
      <c r="J20" s="256"/>
    </row>
    <row r="21" spans="3:11">
      <c r="C21" s="14"/>
      <c r="D21" s="14"/>
      <c r="E21" s="14"/>
      <c r="F21" s="14"/>
      <c r="G21" s="256"/>
      <c r="H21" s="256"/>
      <c r="I21" s="256"/>
      <c r="J21" s="256"/>
    </row>
    <row r="22" spans="3:11">
      <c r="C22" s="14"/>
      <c r="D22" s="14"/>
      <c r="E22" s="14"/>
      <c r="F22" s="14"/>
      <c r="G22" s="256"/>
      <c r="H22" s="256"/>
      <c r="I22" s="256"/>
      <c r="J22" s="256"/>
      <c r="K22" s="257"/>
    </row>
    <row r="23" spans="3:11">
      <c r="C23" s="11"/>
      <c r="D23" s="11"/>
      <c r="E23" s="11"/>
      <c r="F23" s="11"/>
      <c r="G23" s="256"/>
      <c r="H23" s="256"/>
      <c r="I23" s="256"/>
      <c r="J23" s="256"/>
    </row>
    <row r="24" spans="3:11">
      <c r="C24" s="11"/>
      <c r="D24" s="11"/>
      <c r="E24" s="11"/>
      <c r="F24" s="11"/>
    </row>
    <row r="25" spans="3:11">
      <c r="C25" s="11"/>
      <c r="D25" s="11"/>
      <c r="E25" s="11"/>
      <c r="F25" s="11"/>
    </row>
  </sheetData>
  <mergeCells count="1">
    <mergeCell ref="G14:J1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45"/>
  <sheetViews>
    <sheetView showGridLines="0" topLeftCell="AW2" workbookViewId="0">
      <selection activeCell="BC3" sqref="BC3"/>
    </sheetView>
  </sheetViews>
  <sheetFormatPr defaultColWidth="9.140625" defaultRowHeight="15"/>
  <cols>
    <col min="1" max="1" width="1.7109375" customWidth="1"/>
    <col min="2" max="2" width="10.85546875" bestFit="1" customWidth="1"/>
    <col min="3" max="3" width="8.5703125" bestFit="1" customWidth="1"/>
    <col min="4" max="4" width="13.85546875" bestFit="1" customWidth="1"/>
    <col min="5" max="5" width="13.85546875" customWidth="1"/>
    <col min="6" max="6" width="5.28515625" bestFit="1" customWidth="1"/>
    <col min="7" max="7" width="12.42578125" bestFit="1" customWidth="1"/>
    <col min="8" max="8" width="15.140625" bestFit="1" customWidth="1"/>
    <col min="9" max="9" width="33.5703125" bestFit="1" customWidth="1"/>
    <col min="10" max="10" width="60.85546875" bestFit="1" customWidth="1"/>
    <col min="11" max="11" width="16.42578125" bestFit="1" customWidth="1"/>
    <col min="12" max="12" width="14.28515625" bestFit="1" customWidth="1"/>
    <col min="13" max="13" width="11.42578125" bestFit="1" customWidth="1"/>
    <col min="14" max="14" width="10.7109375" bestFit="1" customWidth="1"/>
    <col min="15" max="15" width="24.85546875" bestFit="1" customWidth="1"/>
    <col min="16" max="16" width="10" bestFit="1" customWidth="1"/>
    <col min="17" max="18" width="16.42578125" bestFit="1" customWidth="1"/>
    <col min="19" max="51" width="15.42578125" bestFit="1" customWidth="1"/>
    <col min="52" max="52" width="55.140625" bestFit="1" customWidth="1"/>
    <col min="53" max="53" width="20" bestFit="1" customWidth="1"/>
    <col min="54" max="54" width="7.85546875" customWidth="1"/>
    <col min="55" max="55" width="14.28515625" bestFit="1" customWidth="1"/>
  </cols>
  <sheetData>
    <row r="1" spans="2:55" ht="8.25" customHeight="1"/>
    <row r="2" spans="2:55">
      <c r="B2" s="281" t="s">
        <v>292</v>
      </c>
      <c r="C2" s="282" t="s">
        <v>293</v>
      </c>
      <c r="D2" s="282" t="s">
        <v>294</v>
      </c>
      <c r="E2" s="282" t="s">
        <v>295</v>
      </c>
      <c r="F2" s="282" t="s">
        <v>296</v>
      </c>
      <c r="G2" s="282" t="s">
        <v>297</v>
      </c>
      <c r="H2" s="283" t="s">
        <v>298</v>
      </c>
      <c r="I2" s="282" t="s">
        <v>299</v>
      </c>
      <c r="J2" s="282" t="s">
        <v>300</v>
      </c>
      <c r="K2" s="284" t="s">
        <v>301</v>
      </c>
      <c r="L2" s="282" t="s">
        <v>302</v>
      </c>
      <c r="M2" s="282" t="s">
        <v>303</v>
      </c>
      <c r="N2" s="282" t="s">
        <v>304</v>
      </c>
      <c r="O2" s="282" t="s">
        <v>305</v>
      </c>
      <c r="P2" s="282" t="s">
        <v>306</v>
      </c>
      <c r="Q2" s="282">
        <v>2021</v>
      </c>
      <c r="R2" s="282" t="s">
        <v>307</v>
      </c>
      <c r="S2" s="285">
        <v>44652</v>
      </c>
      <c r="T2" s="285">
        <v>44682</v>
      </c>
      <c r="U2" s="285">
        <v>44713</v>
      </c>
      <c r="V2" s="285">
        <v>44743</v>
      </c>
      <c r="W2" s="285">
        <v>44774</v>
      </c>
      <c r="X2" s="285">
        <v>44805</v>
      </c>
      <c r="Y2" s="285">
        <v>44835</v>
      </c>
      <c r="Z2" s="285">
        <v>44866</v>
      </c>
      <c r="AA2" s="285">
        <v>44896</v>
      </c>
      <c r="AB2" s="285">
        <v>44927</v>
      </c>
      <c r="AC2" s="285">
        <v>44958</v>
      </c>
      <c r="AD2" s="285">
        <v>44986</v>
      </c>
      <c r="AE2" s="285">
        <v>45017</v>
      </c>
      <c r="AF2" s="285">
        <v>45047</v>
      </c>
      <c r="AG2" s="285">
        <v>45078</v>
      </c>
      <c r="AH2" s="285">
        <v>45108</v>
      </c>
      <c r="AI2" s="285">
        <v>45139</v>
      </c>
      <c r="AJ2" s="285">
        <v>45170</v>
      </c>
      <c r="AK2" s="285">
        <v>45200</v>
      </c>
      <c r="AL2" s="285">
        <v>45231</v>
      </c>
      <c r="AM2" s="285">
        <v>45261</v>
      </c>
      <c r="AN2" s="285">
        <v>45292</v>
      </c>
      <c r="AO2" s="285">
        <v>45323</v>
      </c>
      <c r="AP2" s="285">
        <v>45352</v>
      </c>
      <c r="AQ2" s="285">
        <v>45383</v>
      </c>
      <c r="AR2" s="285">
        <v>45413</v>
      </c>
      <c r="AS2" s="285">
        <v>45444</v>
      </c>
      <c r="AT2" s="285">
        <v>45474</v>
      </c>
      <c r="AU2" s="285">
        <v>45505</v>
      </c>
      <c r="AV2" s="285">
        <v>45536</v>
      </c>
      <c r="AW2" s="285">
        <v>45566</v>
      </c>
      <c r="AX2" s="285">
        <v>45597</v>
      </c>
      <c r="AY2" s="285">
        <v>45627</v>
      </c>
      <c r="AZ2" s="282" t="s">
        <v>308</v>
      </c>
      <c r="BA2" s="286"/>
    </row>
    <row r="3" spans="2:55">
      <c r="B3" s="287" t="s">
        <v>309</v>
      </c>
      <c r="D3" t="s">
        <v>310</v>
      </c>
      <c r="F3">
        <v>312</v>
      </c>
      <c r="G3" t="s">
        <v>311</v>
      </c>
      <c r="H3" s="288">
        <v>895371000189</v>
      </c>
      <c r="I3" t="s">
        <v>312</v>
      </c>
      <c r="J3" t="s">
        <v>313</v>
      </c>
      <c r="K3" s="289">
        <v>13271257.68</v>
      </c>
      <c r="L3" s="290">
        <v>43153</v>
      </c>
      <c r="M3" s="290">
        <v>44978</v>
      </c>
      <c r="N3">
        <f>M3-L3</f>
        <v>1825</v>
      </c>
      <c r="O3" s="291" t="s">
        <v>314</v>
      </c>
      <c r="P3" t="s">
        <v>315</v>
      </c>
      <c r="Q3" s="292">
        <v>0</v>
      </c>
      <c r="R3" s="292">
        <v>0</v>
      </c>
      <c r="S3" s="293">
        <v>243804.19</v>
      </c>
      <c r="T3" s="293">
        <v>243804.19</v>
      </c>
      <c r="U3" s="293">
        <v>243804.19</v>
      </c>
      <c r="V3" s="293">
        <v>243804.19</v>
      </c>
      <c r="W3" s="293">
        <v>243804.19</v>
      </c>
      <c r="X3" s="293">
        <v>243804.19</v>
      </c>
      <c r="Y3" s="293">
        <v>243804.19</v>
      </c>
      <c r="Z3" s="293">
        <v>243804.19</v>
      </c>
      <c r="AA3" s="293">
        <v>243804.19</v>
      </c>
      <c r="AB3" s="293">
        <v>243804.19</v>
      </c>
      <c r="AC3" s="293">
        <v>243804.19</v>
      </c>
      <c r="AD3" s="294">
        <v>305961.3</v>
      </c>
      <c r="AE3" s="294">
        <v>305961.3</v>
      </c>
      <c r="AF3" s="294">
        <v>305961.3</v>
      </c>
      <c r="AG3" s="294">
        <v>305961.3</v>
      </c>
      <c r="AH3" s="294">
        <v>305961.3</v>
      </c>
      <c r="AI3" s="294">
        <v>305961.3</v>
      </c>
      <c r="AJ3" s="294">
        <v>305961.3</v>
      </c>
      <c r="AK3" s="294">
        <v>305961.3</v>
      </c>
      <c r="AL3" s="294">
        <v>305961.3</v>
      </c>
      <c r="AM3" s="294">
        <v>305961.3</v>
      </c>
      <c r="AN3" s="294">
        <v>305961.3</v>
      </c>
      <c r="AO3" s="294">
        <v>305961.3</v>
      </c>
      <c r="AP3" s="294">
        <v>305961.3</v>
      </c>
      <c r="AQ3" s="294">
        <v>305961.3</v>
      </c>
      <c r="AR3" s="294">
        <v>305961.3</v>
      </c>
      <c r="AS3" s="294">
        <v>305961.3</v>
      </c>
      <c r="AT3" s="294">
        <v>305961.3</v>
      </c>
      <c r="AU3" s="294">
        <v>305961.3</v>
      </c>
      <c r="AV3" s="294">
        <v>305961.3</v>
      </c>
      <c r="AW3" s="294">
        <v>305961.3</v>
      </c>
      <c r="AX3" s="294">
        <v>305961.3</v>
      </c>
      <c r="AY3" s="294">
        <v>305961.3</v>
      </c>
      <c r="AZ3" s="291"/>
      <c r="BA3" s="286"/>
    </row>
    <row r="4" spans="2:55">
      <c r="B4" s="287"/>
      <c r="C4" s="295">
        <v>289863</v>
      </c>
      <c r="D4" s="295" t="s">
        <v>316</v>
      </c>
      <c r="E4" s="295"/>
      <c r="H4" s="288"/>
      <c r="K4" s="296" t="s">
        <v>317</v>
      </c>
      <c r="L4" s="290"/>
      <c r="M4" s="290"/>
      <c r="O4" s="291"/>
      <c r="Q4" s="289">
        <v>2602044.27</v>
      </c>
      <c r="R4" s="289">
        <v>370848.52</v>
      </c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1"/>
      <c r="BA4" s="286"/>
    </row>
    <row r="5" spans="2:55">
      <c r="B5" s="287"/>
      <c r="C5" s="295">
        <v>318121</v>
      </c>
      <c r="D5" s="295" t="s">
        <v>318</v>
      </c>
      <c r="E5" s="295"/>
      <c r="H5" s="288"/>
      <c r="K5" s="296" t="s">
        <v>319</v>
      </c>
      <c r="L5" s="290"/>
      <c r="M5" s="290"/>
      <c r="O5" s="291"/>
      <c r="Q5" s="289">
        <v>12250</v>
      </c>
      <c r="R5" s="289">
        <v>18375</v>
      </c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1"/>
      <c r="BA5" s="286"/>
      <c r="BB5" s="278" t="s">
        <v>290</v>
      </c>
      <c r="BC5" s="278" t="s">
        <v>291</v>
      </c>
    </row>
    <row r="6" spans="2:55">
      <c r="B6" s="287"/>
      <c r="C6" s="295">
        <v>329438</v>
      </c>
      <c r="D6" s="295" t="s">
        <v>320</v>
      </c>
      <c r="E6" s="295"/>
      <c r="H6" s="288"/>
      <c r="K6" s="296" t="s">
        <v>321</v>
      </c>
      <c r="L6" s="290"/>
      <c r="M6" s="290"/>
      <c r="O6" s="291"/>
      <c r="Q6" s="289">
        <v>90413.46</v>
      </c>
      <c r="R6" s="289">
        <v>135620.19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1"/>
      <c r="BA6" s="286"/>
      <c r="BB6" s="279">
        <v>2021</v>
      </c>
      <c r="BC6" s="280">
        <f>SUM(Q3:Q143)</f>
        <v>25482952.220000006</v>
      </c>
    </row>
    <row r="7" spans="2:55">
      <c r="B7" s="287"/>
      <c r="C7" s="295">
        <v>354365</v>
      </c>
      <c r="D7" s="295" t="s">
        <v>318</v>
      </c>
      <c r="E7" s="295"/>
      <c r="H7" s="288"/>
      <c r="K7" s="296" t="s">
        <v>322</v>
      </c>
      <c r="L7" s="290"/>
      <c r="M7" s="290"/>
      <c r="O7" s="291"/>
      <c r="Q7" s="289">
        <v>152506.45000000001</v>
      </c>
      <c r="R7" s="289">
        <v>11853.970000000001</v>
      </c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1"/>
      <c r="BA7" s="286"/>
      <c r="BB7" s="279">
        <v>2022</v>
      </c>
      <c r="BC7" s="280">
        <f>SUM(R3:AA143)</f>
        <v>46187710.119913615</v>
      </c>
    </row>
    <row r="8" spans="2:55">
      <c r="B8" s="287"/>
      <c r="C8" s="295">
        <v>354368</v>
      </c>
      <c r="D8" s="295" t="s">
        <v>318</v>
      </c>
      <c r="E8" s="295"/>
      <c r="H8" s="288"/>
      <c r="K8" s="296" t="s">
        <v>323</v>
      </c>
      <c r="L8" s="290"/>
      <c r="M8" s="290"/>
      <c r="O8" s="291"/>
      <c r="Q8" s="289">
        <v>7319.69</v>
      </c>
      <c r="R8" s="289">
        <v>2961.6</v>
      </c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1"/>
      <c r="BA8" s="286"/>
      <c r="BB8" s="279">
        <v>2023</v>
      </c>
      <c r="BC8" s="280">
        <f>SUM(AB3:AM143)</f>
        <v>70889891.679568797</v>
      </c>
    </row>
    <row r="9" spans="2:55">
      <c r="B9" s="287"/>
      <c r="C9" s="295">
        <v>354370</v>
      </c>
      <c r="D9" s="295" t="s">
        <v>318</v>
      </c>
      <c r="E9" s="295"/>
      <c r="H9" s="288"/>
      <c r="K9" s="296" t="s">
        <v>324</v>
      </c>
      <c r="L9" s="290"/>
      <c r="M9" s="290"/>
      <c r="O9" s="291"/>
      <c r="Q9" s="289">
        <v>96810</v>
      </c>
      <c r="R9" s="289">
        <v>24202.5</v>
      </c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1"/>
      <c r="BA9" s="286"/>
      <c r="BB9" s="279">
        <v>2024</v>
      </c>
      <c r="BC9" s="280">
        <f>SUM(AN3:AY143)</f>
        <v>83797346.744683713</v>
      </c>
    </row>
    <row r="10" spans="2:55">
      <c r="B10" s="287"/>
      <c r="C10" s="295">
        <v>354371</v>
      </c>
      <c r="D10" s="295" t="s">
        <v>318</v>
      </c>
      <c r="E10" s="295"/>
      <c r="H10" s="288"/>
      <c r="K10" s="296" t="s">
        <v>325</v>
      </c>
      <c r="L10" s="290"/>
      <c r="M10" s="290"/>
      <c r="O10" s="291"/>
      <c r="Q10" s="289">
        <v>24140.400000000001</v>
      </c>
      <c r="R10" s="289">
        <v>6035.1</v>
      </c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1"/>
      <c r="BA10" s="286"/>
    </row>
    <row r="11" spans="2:55">
      <c r="B11" s="287"/>
      <c r="C11" s="295">
        <v>329437</v>
      </c>
      <c r="D11" s="295" t="s">
        <v>326</v>
      </c>
      <c r="E11" s="295"/>
      <c r="H11" s="288"/>
      <c r="K11" s="296" t="s">
        <v>327</v>
      </c>
      <c r="L11" s="290"/>
      <c r="M11" s="290"/>
      <c r="O11" s="291"/>
      <c r="Q11" s="289">
        <v>0</v>
      </c>
      <c r="R11" s="289">
        <v>0</v>
      </c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1"/>
      <c r="BA11" s="286"/>
    </row>
    <row r="12" spans="2:55">
      <c r="B12" s="287"/>
      <c r="C12" s="295">
        <v>354369</v>
      </c>
      <c r="D12" s="295" t="s">
        <v>318</v>
      </c>
      <c r="E12" s="295"/>
      <c r="H12" s="288"/>
      <c r="K12" s="296" t="s">
        <v>328</v>
      </c>
      <c r="L12" s="290"/>
      <c r="M12" s="290"/>
      <c r="O12" s="291"/>
      <c r="Q12" s="289">
        <v>0</v>
      </c>
      <c r="R12" s="289">
        <v>0</v>
      </c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1"/>
      <c r="BA12" s="286"/>
    </row>
    <row r="13" spans="2:55">
      <c r="B13" s="287"/>
      <c r="C13" s="295">
        <v>354372</v>
      </c>
      <c r="D13" s="295" t="s">
        <v>318</v>
      </c>
      <c r="E13" s="295"/>
      <c r="H13" s="288"/>
      <c r="K13" s="296" t="s">
        <v>329</v>
      </c>
      <c r="L13" s="290"/>
      <c r="M13" s="290"/>
      <c r="O13" s="291"/>
      <c r="Q13" s="289">
        <v>0</v>
      </c>
      <c r="R13" s="289">
        <v>0</v>
      </c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1"/>
      <c r="BA13" s="286"/>
    </row>
    <row r="14" spans="2:55">
      <c r="B14" s="287" t="s">
        <v>330</v>
      </c>
      <c r="D14" t="s">
        <v>310</v>
      </c>
      <c r="F14">
        <v>312</v>
      </c>
      <c r="G14" t="s">
        <v>311</v>
      </c>
      <c r="H14" s="288">
        <v>895371000189</v>
      </c>
      <c r="I14" t="s">
        <v>312</v>
      </c>
      <c r="J14" t="s">
        <v>313</v>
      </c>
      <c r="K14" s="289">
        <v>14689500</v>
      </c>
      <c r="L14" s="290">
        <v>44461</v>
      </c>
      <c r="M14" s="290">
        <v>46286</v>
      </c>
      <c r="N14">
        <v>1825</v>
      </c>
      <c r="O14" s="291" t="s">
        <v>314</v>
      </c>
      <c r="P14" t="s">
        <v>315</v>
      </c>
      <c r="Q14" s="292">
        <v>0</v>
      </c>
      <c r="R14" s="292">
        <v>0</v>
      </c>
      <c r="S14" s="293">
        <v>244825</v>
      </c>
      <c r="T14" s="293">
        <v>244825</v>
      </c>
      <c r="U14" s="293">
        <v>244825</v>
      </c>
      <c r="V14" s="293">
        <v>244825</v>
      </c>
      <c r="W14" s="293">
        <v>244825</v>
      </c>
      <c r="X14" s="293">
        <v>244825</v>
      </c>
      <c r="Y14" s="293">
        <v>244825</v>
      </c>
      <c r="Z14" s="293">
        <v>244825</v>
      </c>
      <c r="AA14" s="293">
        <v>244825</v>
      </c>
      <c r="AB14" s="293">
        <v>244825</v>
      </c>
      <c r="AC14" s="293">
        <v>244825</v>
      </c>
      <c r="AD14" s="293">
        <v>244825</v>
      </c>
      <c r="AE14" s="293">
        <v>244825</v>
      </c>
      <c r="AF14" s="293">
        <v>244825</v>
      </c>
      <c r="AG14" s="293">
        <v>244825</v>
      </c>
      <c r="AH14" s="293">
        <v>244825</v>
      </c>
      <c r="AI14" s="293">
        <v>244825</v>
      </c>
      <c r="AJ14" s="293">
        <v>244825</v>
      </c>
      <c r="AK14" s="293">
        <v>244825</v>
      </c>
      <c r="AL14" s="293">
        <v>244825</v>
      </c>
      <c r="AM14" s="293">
        <v>244825</v>
      </c>
      <c r="AN14" s="293">
        <v>244825</v>
      </c>
      <c r="AO14" s="293">
        <v>244825</v>
      </c>
      <c r="AP14" s="293">
        <v>244825</v>
      </c>
      <c r="AQ14" s="293">
        <v>244825</v>
      </c>
      <c r="AR14" s="293">
        <v>244825</v>
      </c>
      <c r="AS14" s="293">
        <v>244825</v>
      </c>
      <c r="AT14" s="293">
        <v>244825</v>
      </c>
      <c r="AU14" s="293">
        <v>244825</v>
      </c>
      <c r="AV14" s="293">
        <v>244825</v>
      </c>
      <c r="AW14" s="293">
        <v>244825</v>
      </c>
      <c r="AX14" s="293">
        <v>244825</v>
      </c>
      <c r="AY14" s="293">
        <v>244825</v>
      </c>
      <c r="AZ14" s="291"/>
      <c r="BA14" s="286"/>
    </row>
    <row r="15" spans="2:55">
      <c r="B15" s="287"/>
      <c r="C15" s="295">
        <v>354618</v>
      </c>
      <c r="D15" s="295" t="s">
        <v>316</v>
      </c>
      <c r="E15" s="295"/>
      <c r="H15" s="288"/>
      <c r="K15" s="289">
        <v>14689500</v>
      </c>
      <c r="L15" s="290"/>
      <c r="M15" s="290"/>
      <c r="O15" s="291"/>
      <c r="Q15" s="292">
        <v>0</v>
      </c>
      <c r="R15" s="292">
        <v>401158.58999999997</v>
      </c>
      <c r="T15" s="298"/>
      <c r="U15" s="293"/>
      <c r="V15" s="293"/>
      <c r="W15" s="298"/>
    </row>
    <row r="16" spans="2:55">
      <c r="B16" s="287" t="s">
        <v>331</v>
      </c>
      <c r="D16" t="s">
        <v>310</v>
      </c>
      <c r="F16">
        <v>312</v>
      </c>
      <c r="G16" t="s">
        <v>311</v>
      </c>
      <c r="H16" s="288">
        <v>17590881000140</v>
      </c>
      <c r="I16" t="s">
        <v>332</v>
      </c>
      <c r="J16" t="s">
        <v>333</v>
      </c>
      <c r="K16" s="289">
        <v>4858920</v>
      </c>
      <c r="L16" s="290">
        <v>43283</v>
      </c>
      <c r="M16" s="290">
        <v>44743</v>
      </c>
      <c r="N16">
        <f>M16-L16</f>
        <v>1460</v>
      </c>
      <c r="O16" s="291" t="s">
        <v>334</v>
      </c>
      <c r="P16" t="s">
        <v>315</v>
      </c>
      <c r="Q16" s="292">
        <v>0</v>
      </c>
      <c r="R16" s="292">
        <v>0</v>
      </c>
      <c r="S16" s="293">
        <v>93753</v>
      </c>
      <c r="T16" s="293">
        <v>93753</v>
      </c>
      <c r="U16" s="293">
        <v>93753</v>
      </c>
      <c r="V16" s="293">
        <v>93753</v>
      </c>
      <c r="W16" s="294">
        <v>93753</v>
      </c>
      <c r="X16" s="294">
        <v>93753</v>
      </c>
      <c r="Y16" s="294">
        <v>93753</v>
      </c>
      <c r="Z16" s="294">
        <v>93753</v>
      </c>
      <c r="AA16" s="294">
        <v>93753</v>
      </c>
      <c r="AB16" s="294">
        <v>93753</v>
      </c>
      <c r="AC16" s="294">
        <v>93753</v>
      </c>
      <c r="AD16" s="294">
        <v>93753</v>
      </c>
      <c r="AE16" s="294">
        <v>93753</v>
      </c>
      <c r="AF16" s="294">
        <v>93753</v>
      </c>
      <c r="AG16" s="294">
        <v>93753</v>
      </c>
      <c r="AH16" s="294">
        <v>93753</v>
      </c>
      <c r="AI16" s="294">
        <v>93753</v>
      </c>
      <c r="AJ16" s="294">
        <v>93753</v>
      </c>
      <c r="AK16" s="294">
        <v>93753</v>
      </c>
      <c r="AL16" s="294">
        <v>93753</v>
      </c>
      <c r="AM16" s="294">
        <v>93753</v>
      </c>
      <c r="AN16" s="294">
        <v>93753</v>
      </c>
      <c r="AO16" s="294">
        <v>93753</v>
      </c>
      <c r="AP16" s="294">
        <v>93753</v>
      </c>
      <c r="AQ16" s="294">
        <v>93753</v>
      </c>
      <c r="AR16" s="294">
        <v>93753</v>
      </c>
      <c r="AS16" s="294">
        <v>93753</v>
      </c>
      <c r="AT16" s="294">
        <v>93753</v>
      </c>
      <c r="AU16" s="294">
        <v>93753</v>
      </c>
      <c r="AV16" s="294">
        <v>93753</v>
      </c>
      <c r="AW16" s="294">
        <v>93753</v>
      </c>
      <c r="AX16" s="294">
        <v>93753</v>
      </c>
      <c r="AY16" s="294">
        <v>93753</v>
      </c>
      <c r="AZ16" s="291"/>
      <c r="BA16" s="286"/>
    </row>
    <row r="17" spans="2:53">
      <c r="B17" s="287"/>
      <c r="C17" s="295">
        <v>297606</v>
      </c>
      <c r="D17" s="295" t="s">
        <v>316</v>
      </c>
      <c r="E17" s="295"/>
      <c r="H17" s="288"/>
      <c r="K17" s="296" t="s">
        <v>335</v>
      </c>
      <c r="L17" s="290"/>
      <c r="M17" s="290"/>
      <c r="O17" s="291"/>
      <c r="Q17" s="289">
        <v>0</v>
      </c>
      <c r="R17" s="289">
        <v>0</v>
      </c>
      <c r="T17" s="298"/>
      <c r="U17" s="297"/>
      <c r="V17" s="297"/>
      <c r="W17" s="298"/>
    </row>
    <row r="18" spans="2:53">
      <c r="B18" s="287"/>
      <c r="C18" s="295">
        <v>337294</v>
      </c>
      <c r="D18" s="295" t="s">
        <v>326</v>
      </c>
      <c r="E18" s="295"/>
      <c r="H18" s="288"/>
      <c r="K18" s="296" t="s">
        <v>336</v>
      </c>
      <c r="L18" s="290"/>
      <c r="M18" s="290"/>
      <c r="O18" s="291"/>
      <c r="Q18" s="289">
        <v>1125036</v>
      </c>
      <c r="R18" s="289">
        <v>281259</v>
      </c>
      <c r="T18" s="298"/>
      <c r="U18" s="297"/>
      <c r="V18" s="297"/>
      <c r="W18" s="298"/>
    </row>
    <row r="19" spans="2:53">
      <c r="B19" s="287" t="s">
        <v>337</v>
      </c>
      <c r="D19" t="s">
        <v>310</v>
      </c>
      <c r="F19">
        <v>312</v>
      </c>
      <c r="G19" t="s">
        <v>311</v>
      </c>
      <c r="H19" s="288">
        <v>81243735000148</v>
      </c>
      <c r="I19" t="s">
        <v>338</v>
      </c>
      <c r="J19" t="s">
        <v>339</v>
      </c>
      <c r="K19" s="289">
        <v>11909975</v>
      </c>
      <c r="L19" s="290">
        <v>44421</v>
      </c>
      <c r="M19" s="290">
        <f>L19+N19</f>
        <v>46246</v>
      </c>
      <c r="N19">
        <v>1825</v>
      </c>
      <c r="O19" s="291" t="s">
        <v>314</v>
      </c>
      <c r="P19" t="s">
        <v>315</v>
      </c>
      <c r="Q19" s="292">
        <v>0</v>
      </c>
      <c r="R19" s="292">
        <v>0</v>
      </c>
      <c r="S19" s="293">
        <v>207130</v>
      </c>
      <c r="T19" s="293">
        <v>207130</v>
      </c>
      <c r="U19" s="293">
        <v>207130</v>
      </c>
      <c r="V19" s="293">
        <v>207130</v>
      </c>
      <c r="W19" s="293">
        <v>207130</v>
      </c>
      <c r="X19" s="293">
        <v>207130</v>
      </c>
      <c r="Y19" s="293">
        <v>207130</v>
      </c>
      <c r="Z19" s="293">
        <v>207130</v>
      </c>
      <c r="AA19" s="293">
        <v>207130</v>
      </c>
      <c r="AB19" s="293">
        <v>207130</v>
      </c>
      <c r="AC19" s="293">
        <v>207130</v>
      </c>
      <c r="AD19" s="293">
        <v>207130</v>
      </c>
      <c r="AE19" s="293">
        <v>207130</v>
      </c>
      <c r="AF19" s="293">
        <v>207130</v>
      </c>
      <c r="AG19" s="293">
        <v>207130</v>
      </c>
      <c r="AH19" s="293">
        <v>207130</v>
      </c>
      <c r="AI19" s="293">
        <v>207130</v>
      </c>
      <c r="AJ19" s="293">
        <v>207130</v>
      </c>
      <c r="AK19" s="293">
        <v>207130</v>
      </c>
      <c r="AL19" s="293">
        <v>207130</v>
      </c>
      <c r="AM19" s="293">
        <v>207130</v>
      </c>
      <c r="AN19" s="293">
        <v>207130</v>
      </c>
      <c r="AO19" s="293">
        <v>207130</v>
      </c>
      <c r="AP19" s="293">
        <v>207130</v>
      </c>
      <c r="AQ19" s="293">
        <v>207130</v>
      </c>
      <c r="AR19" s="293">
        <v>207130</v>
      </c>
      <c r="AS19" s="293">
        <v>207130</v>
      </c>
      <c r="AT19" s="293">
        <v>207130</v>
      </c>
      <c r="AU19" s="293">
        <v>207130</v>
      </c>
      <c r="AV19" s="293">
        <v>207130</v>
      </c>
      <c r="AW19" s="293">
        <v>207130</v>
      </c>
      <c r="AX19" s="293">
        <v>207130</v>
      </c>
      <c r="AY19" s="293">
        <v>207130</v>
      </c>
      <c r="AZ19" s="291"/>
      <c r="BA19" s="286"/>
    </row>
    <row r="20" spans="2:53">
      <c r="B20" s="287"/>
      <c r="C20" s="295">
        <v>351515</v>
      </c>
      <c r="D20" s="295" t="s">
        <v>316</v>
      </c>
      <c r="E20" s="295"/>
      <c r="H20" s="288"/>
      <c r="K20" s="296" t="s">
        <v>340</v>
      </c>
      <c r="L20" s="290"/>
      <c r="M20" s="290"/>
      <c r="O20" s="291"/>
      <c r="Q20" s="289">
        <v>333605.14</v>
      </c>
      <c r="R20" s="289">
        <v>621390</v>
      </c>
      <c r="T20" s="298"/>
      <c r="U20" s="297"/>
      <c r="V20" s="297"/>
      <c r="W20" s="298"/>
    </row>
    <row r="21" spans="2:53">
      <c r="B21" s="287" t="s">
        <v>341</v>
      </c>
      <c r="D21" t="s">
        <v>310</v>
      </c>
      <c r="F21">
        <v>312</v>
      </c>
      <c r="G21" t="s">
        <v>311</v>
      </c>
      <c r="H21" s="288">
        <v>809489000147</v>
      </c>
      <c r="I21" t="s">
        <v>342</v>
      </c>
      <c r="J21" t="s">
        <v>343</v>
      </c>
      <c r="K21" s="289">
        <v>16168672</v>
      </c>
      <c r="L21" s="290">
        <v>44470</v>
      </c>
      <c r="M21" s="290">
        <v>45910</v>
      </c>
      <c r="N21">
        <v>1440</v>
      </c>
      <c r="O21" s="291" t="s">
        <v>334</v>
      </c>
      <c r="P21" t="s">
        <v>315</v>
      </c>
      <c r="Q21" s="292">
        <v>0</v>
      </c>
      <c r="R21" s="292">
        <v>0</v>
      </c>
      <c r="S21" s="293">
        <v>112870</v>
      </c>
      <c r="T21" s="293">
        <v>112870</v>
      </c>
      <c r="U21" s="293">
        <v>112870</v>
      </c>
      <c r="V21" s="293">
        <v>112870</v>
      </c>
      <c r="W21" s="293">
        <v>112870</v>
      </c>
      <c r="X21" s="293">
        <v>112870</v>
      </c>
      <c r="Y21" s="293">
        <v>112870</v>
      </c>
      <c r="Z21" s="293">
        <v>112870</v>
      </c>
      <c r="AA21" s="293">
        <v>112870</v>
      </c>
      <c r="AB21" s="293">
        <v>112870</v>
      </c>
      <c r="AC21" s="293">
        <v>112870</v>
      </c>
      <c r="AD21" s="293">
        <v>112870</v>
      </c>
      <c r="AE21" s="293">
        <v>112870</v>
      </c>
      <c r="AF21" s="293">
        <v>112870</v>
      </c>
      <c r="AG21" s="293">
        <v>112870</v>
      </c>
      <c r="AH21" s="293">
        <v>112870</v>
      </c>
      <c r="AI21" s="293">
        <v>112870</v>
      </c>
      <c r="AJ21" s="293">
        <v>112870</v>
      </c>
      <c r="AK21" s="293">
        <v>112870</v>
      </c>
      <c r="AL21" s="293">
        <v>112870</v>
      </c>
      <c r="AM21" s="293">
        <v>112870</v>
      </c>
      <c r="AN21" s="293">
        <v>112870</v>
      </c>
      <c r="AO21" s="293">
        <v>112870</v>
      </c>
      <c r="AP21" s="293">
        <v>112870</v>
      </c>
      <c r="AQ21" s="293">
        <v>112870</v>
      </c>
      <c r="AR21" s="293">
        <v>112870</v>
      </c>
      <c r="AS21" s="293">
        <v>112870</v>
      </c>
      <c r="AT21" s="293">
        <v>112870</v>
      </c>
      <c r="AU21" s="293">
        <v>112870</v>
      </c>
      <c r="AV21" s="293">
        <v>112870</v>
      </c>
      <c r="AW21" s="293">
        <v>112870</v>
      </c>
      <c r="AX21" s="293">
        <v>112870</v>
      </c>
      <c r="AY21" s="293">
        <v>112870</v>
      </c>
      <c r="AZ21" s="291"/>
      <c r="BA21" s="286"/>
    </row>
    <row r="22" spans="2:53">
      <c r="C22" s="287">
        <v>357276</v>
      </c>
      <c r="D22" t="s">
        <v>344</v>
      </c>
      <c r="E22" t="s">
        <v>345</v>
      </c>
      <c r="F22">
        <v>319</v>
      </c>
      <c r="G22" t="s">
        <v>346</v>
      </c>
      <c r="H22" s="288">
        <v>13038929000151</v>
      </c>
      <c r="I22" t="s">
        <v>347</v>
      </c>
      <c r="J22" t="s">
        <v>348</v>
      </c>
      <c r="K22" s="289">
        <v>172500</v>
      </c>
      <c r="L22" s="290">
        <v>44531</v>
      </c>
      <c r="M22" s="290">
        <v>44895</v>
      </c>
      <c r="N22">
        <v>364</v>
      </c>
      <c r="O22" s="291" t="s">
        <v>334</v>
      </c>
      <c r="P22" t="s">
        <v>349</v>
      </c>
      <c r="Q22" s="292">
        <v>0</v>
      </c>
      <c r="R22" s="292">
        <v>43625.33</v>
      </c>
      <c r="S22" s="277">
        <v>700</v>
      </c>
      <c r="T22" s="277">
        <v>700</v>
      </c>
      <c r="U22" s="277">
        <v>700</v>
      </c>
      <c r="V22" s="293">
        <v>777.00000000000011</v>
      </c>
      <c r="W22" s="293">
        <v>777.00000000000011</v>
      </c>
      <c r="X22" s="293">
        <v>777.00000000000011</v>
      </c>
      <c r="Y22" s="293">
        <v>777.00000000000011</v>
      </c>
      <c r="Z22" s="293">
        <v>777.00000000000011</v>
      </c>
      <c r="AA22" s="294">
        <v>777.00000000000011</v>
      </c>
      <c r="AB22" s="294">
        <v>777.00000000000011</v>
      </c>
      <c r="AC22" s="294">
        <v>777.00000000000011</v>
      </c>
      <c r="AD22" s="294">
        <v>777.00000000000011</v>
      </c>
      <c r="AE22" s="294">
        <v>777.00000000000011</v>
      </c>
      <c r="AF22" s="294">
        <v>777.00000000000011</v>
      </c>
      <c r="AG22" s="294">
        <v>777.00000000000011</v>
      </c>
      <c r="AH22" s="299">
        <v>862.47000000000025</v>
      </c>
      <c r="AI22" s="300">
        <v>862.47000000000025</v>
      </c>
      <c r="AJ22" s="300">
        <v>862.47000000000025</v>
      </c>
      <c r="AK22" s="300">
        <v>862.47000000000025</v>
      </c>
      <c r="AL22" s="300">
        <v>862.47000000000025</v>
      </c>
      <c r="AM22" s="300">
        <v>862.47000000000025</v>
      </c>
      <c r="AN22" s="300">
        <v>862.47000000000025</v>
      </c>
      <c r="AO22" s="300">
        <v>862.47000000000025</v>
      </c>
      <c r="AP22" s="300">
        <v>862.47000000000025</v>
      </c>
      <c r="AQ22" s="300">
        <v>862.47000000000025</v>
      </c>
      <c r="AR22" s="300">
        <v>862.47000000000025</v>
      </c>
      <c r="AS22" s="300">
        <v>862.47000000000025</v>
      </c>
      <c r="AT22" s="299">
        <v>957.3417000000004</v>
      </c>
      <c r="AU22" s="300">
        <v>957.3417000000004</v>
      </c>
      <c r="AV22" s="300">
        <v>957.3417000000004</v>
      </c>
      <c r="AW22" s="300">
        <v>957.3417000000004</v>
      </c>
      <c r="AX22" s="300">
        <v>957.3417000000004</v>
      </c>
      <c r="AY22" s="300">
        <v>957.3417000000004</v>
      </c>
    </row>
    <row r="23" spans="2:53">
      <c r="C23" s="287">
        <v>358836</v>
      </c>
      <c r="D23" t="s">
        <v>344</v>
      </c>
      <c r="E23" t="s">
        <v>345</v>
      </c>
      <c r="F23">
        <v>319</v>
      </c>
      <c r="G23" t="s">
        <v>350</v>
      </c>
      <c r="H23" s="288">
        <v>20589166972</v>
      </c>
      <c r="I23" t="s">
        <v>351</v>
      </c>
      <c r="J23" t="s">
        <v>352</v>
      </c>
      <c r="K23" s="289">
        <v>55800</v>
      </c>
      <c r="L23" s="290">
        <v>44562</v>
      </c>
      <c r="M23" s="290">
        <v>44926</v>
      </c>
      <c r="N23">
        <v>364</v>
      </c>
      <c r="O23" s="291" t="s">
        <v>334</v>
      </c>
      <c r="P23" t="s">
        <v>349</v>
      </c>
      <c r="Q23" s="292">
        <v>0</v>
      </c>
      <c r="R23" s="292">
        <v>9000</v>
      </c>
      <c r="S23" s="277">
        <v>2456.8000000000002</v>
      </c>
      <c r="T23" s="277">
        <v>2456.8000000000002</v>
      </c>
      <c r="U23" s="277">
        <v>2456.8000000000002</v>
      </c>
      <c r="V23" s="293">
        <v>2727.0480000000002</v>
      </c>
      <c r="W23" s="298">
        <v>2727.0480000000002</v>
      </c>
      <c r="X23" s="298">
        <v>2727.0480000000002</v>
      </c>
      <c r="Y23" s="298">
        <v>2727.0480000000002</v>
      </c>
      <c r="Z23" s="298">
        <v>2727.0480000000002</v>
      </c>
      <c r="AA23" s="298">
        <v>2727.0480000000002</v>
      </c>
      <c r="AB23" s="301">
        <v>2727.0480000000002</v>
      </c>
      <c r="AC23" s="301">
        <v>2727.0480000000002</v>
      </c>
      <c r="AD23" s="301">
        <v>2727.0480000000002</v>
      </c>
      <c r="AE23" s="301">
        <v>2727.0480000000002</v>
      </c>
      <c r="AF23" s="301">
        <v>2727.0480000000002</v>
      </c>
      <c r="AG23" s="301">
        <v>2727.0480000000002</v>
      </c>
      <c r="AH23" s="301">
        <v>2727.0480000000002</v>
      </c>
      <c r="AI23" s="301">
        <v>2727.0480000000002</v>
      </c>
      <c r="AJ23" s="301">
        <v>2727.0480000000002</v>
      </c>
      <c r="AK23" s="301">
        <v>2727.0480000000002</v>
      </c>
      <c r="AL23" s="301">
        <v>3027.0232800000003</v>
      </c>
      <c r="AM23" s="299">
        <v>3027.0232800000003</v>
      </c>
      <c r="AN23" s="299">
        <v>3027.0232800000003</v>
      </c>
      <c r="AO23" s="299">
        <v>3027.0232800000003</v>
      </c>
      <c r="AP23" s="299">
        <v>3027.0232800000003</v>
      </c>
      <c r="AQ23" s="299">
        <v>3027.0232800000003</v>
      </c>
      <c r="AR23" s="299">
        <v>3027.0232800000003</v>
      </c>
      <c r="AS23" s="299">
        <v>3027.0232800000003</v>
      </c>
      <c r="AT23" s="299">
        <v>3027.0232800000003</v>
      </c>
      <c r="AU23" s="299">
        <v>3027.0232800000003</v>
      </c>
      <c r="AV23" s="299">
        <v>3027.0232800000003</v>
      </c>
      <c r="AW23" s="299">
        <v>3027.0232800000003</v>
      </c>
      <c r="AX23" s="299">
        <v>3359.9958408000007</v>
      </c>
      <c r="AY23" s="300">
        <v>3359.9958408000007</v>
      </c>
    </row>
    <row r="24" spans="2:53">
      <c r="C24" s="287">
        <v>352003</v>
      </c>
      <c r="D24" t="s">
        <v>344</v>
      </c>
      <c r="E24" t="s">
        <v>353</v>
      </c>
      <c r="F24">
        <v>319</v>
      </c>
      <c r="G24" t="s">
        <v>350</v>
      </c>
      <c r="H24" s="302">
        <v>10642250987</v>
      </c>
      <c r="I24" t="s">
        <v>354</v>
      </c>
      <c r="J24" t="s">
        <v>355</v>
      </c>
      <c r="K24" s="289">
        <v>39900</v>
      </c>
      <c r="L24" s="290">
        <v>44440</v>
      </c>
      <c r="M24" s="290">
        <v>44804</v>
      </c>
      <c r="N24">
        <v>364</v>
      </c>
      <c r="O24" s="291" t="s">
        <v>334</v>
      </c>
      <c r="P24" t="s">
        <v>349</v>
      </c>
      <c r="Q24" s="292">
        <v>9600</v>
      </c>
      <c r="R24" s="292">
        <v>9600</v>
      </c>
      <c r="S24" s="277">
        <v>604</v>
      </c>
      <c r="T24" s="277">
        <v>604</v>
      </c>
      <c r="U24" s="277">
        <v>604</v>
      </c>
      <c r="V24" s="277">
        <v>604</v>
      </c>
      <c r="W24" s="298">
        <v>670.44</v>
      </c>
      <c r="X24" s="300">
        <v>670.44</v>
      </c>
      <c r="Y24" s="300">
        <v>670.44</v>
      </c>
      <c r="Z24" s="300">
        <v>670.44</v>
      </c>
      <c r="AA24" s="300">
        <v>670.44</v>
      </c>
      <c r="AB24" s="300">
        <v>670.44</v>
      </c>
      <c r="AC24" s="300">
        <v>670.44</v>
      </c>
      <c r="AD24" s="300">
        <v>670.44</v>
      </c>
      <c r="AE24" s="300">
        <v>670.44</v>
      </c>
      <c r="AF24" s="300">
        <v>670.44</v>
      </c>
      <c r="AG24" s="300">
        <v>670.44</v>
      </c>
      <c r="AH24" s="300">
        <v>670.44</v>
      </c>
      <c r="AI24" s="299">
        <v>744.18840000000012</v>
      </c>
      <c r="AJ24" s="299">
        <v>744.18840000000012</v>
      </c>
      <c r="AK24" s="299">
        <v>744.18840000000012</v>
      </c>
      <c r="AL24" s="299">
        <v>744.18840000000012</v>
      </c>
      <c r="AM24" s="299">
        <v>744.18840000000012</v>
      </c>
      <c r="AN24" s="299">
        <v>744.18840000000012</v>
      </c>
      <c r="AO24" s="299">
        <v>744.18840000000012</v>
      </c>
      <c r="AP24" s="299">
        <v>744.18840000000012</v>
      </c>
      <c r="AQ24" s="299">
        <v>744.18840000000012</v>
      </c>
      <c r="AR24" s="299">
        <v>744.18840000000012</v>
      </c>
      <c r="AS24" s="299">
        <v>744.18840000000012</v>
      </c>
      <c r="AT24" s="299">
        <v>744.18840000000012</v>
      </c>
      <c r="AU24" s="299">
        <v>826.04912400000023</v>
      </c>
      <c r="AV24" s="299">
        <v>826.04912400000023</v>
      </c>
      <c r="AW24" s="299">
        <v>826.04912400000023</v>
      </c>
      <c r="AX24" s="299">
        <v>826.04912400000023</v>
      </c>
      <c r="AY24" s="299">
        <v>826.04912400000023</v>
      </c>
    </row>
    <row r="25" spans="2:53">
      <c r="C25" s="287">
        <v>354451</v>
      </c>
      <c r="D25" t="s">
        <v>344</v>
      </c>
      <c r="E25" t="s">
        <v>345</v>
      </c>
      <c r="F25">
        <v>319</v>
      </c>
      <c r="G25" t="s">
        <v>356</v>
      </c>
      <c r="H25" s="288">
        <v>2651153966</v>
      </c>
      <c r="I25" t="s">
        <v>357</v>
      </c>
      <c r="J25" t="s">
        <v>358</v>
      </c>
      <c r="K25" s="289">
        <v>72000</v>
      </c>
      <c r="L25" s="290">
        <v>44470</v>
      </c>
      <c r="M25" s="290">
        <v>44834</v>
      </c>
      <c r="N25">
        <v>364</v>
      </c>
      <c r="O25" s="291" t="s">
        <v>334</v>
      </c>
      <c r="P25" t="s">
        <v>349</v>
      </c>
      <c r="Q25" s="292">
        <v>8000</v>
      </c>
      <c r="R25" s="292">
        <v>18000</v>
      </c>
      <c r="S25" s="277">
        <v>970</v>
      </c>
      <c r="T25" s="277">
        <v>970</v>
      </c>
      <c r="U25" s="303">
        <v>1076.7</v>
      </c>
      <c r="V25" s="303">
        <v>1076.7</v>
      </c>
      <c r="W25" s="303">
        <v>1076.7</v>
      </c>
      <c r="X25" s="303">
        <v>1076.7</v>
      </c>
      <c r="Y25" s="303">
        <v>1076.7</v>
      </c>
      <c r="Z25" s="304">
        <v>1076.7</v>
      </c>
      <c r="AA25" s="304">
        <v>1076.7</v>
      </c>
      <c r="AB25" s="304">
        <v>1076.7</v>
      </c>
      <c r="AC25" s="304">
        <v>1076.7</v>
      </c>
      <c r="AD25" s="304">
        <v>1076.7</v>
      </c>
      <c r="AE25" s="304">
        <v>1076.7</v>
      </c>
      <c r="AF25" s="304">
        <v>1076.7</v>
      </c>
      <c r="AG25" s="299">
        <v>0</v>
      </c>
      <c r="AH25" s="299">
        <v>0</v>
      </c>
      <c r="AI25" s="299">
        <v>0</v>
      </c>
      <c r="AJ25" s="299">
        <v>0</v>
      </c>
      <c r="AK25" s="299">
        <v>0</v>
      </c>
      <c r="AL25" s="299">
        <v>0</v>
      </c>
      <c r="AM25" s="299">
        <v>0</v>
      </c>
      <c r="AN25" s="299">
        <v>0</v>
      </c>
      <c r="AO25" s="299">
        <v>0</v>
      </c>
      <c r="AP25" s="299">
        <v>0</v>
      </c>
      <c r="AQ25" s="299">
        <v>0</v>
      </c>
      <c r="AR25" s="299">
        <v>0</v>
      </c>
      <c r="AS25" s="299">
        <v>0</v>
      </c>
      <c r="AT25" s="299">
        <v>0</v>
      </c>
      <c r="AU25" s="299">
        <v>0</v>
      </c>
      <c r="AV25" s="299">
        <v>0</v>
      </c>
      <c r="AW25" s="299">
        <v>0</v>
      </c>
      <c r="AX25" s="299">
        <v>0</v>
      </c>
      <c r="AY25" s="299">
        <v>0</v>
      </c>
    </row>
    <row r="26" spans="2:53">
      <c r="C26" s="287">
        <v>358061</v>
      </c>
      <c r="D26" t="s">
        <v>344</v>
      </c>
      <c r="E26" t="s">
        <v>359</v>
      </c>
      <c r="F26">
        <v>319</v>
      </c>
      <c r="G26" t="s">
        <v>360</v>
      </c>
      <c r="H26" s="288">
        <v>6561323963</v>
      </c>
      <c r="I26" t="s">
        <v>361</v>
      </c>
      <c r="J26" t="s">
        <v>362</v>
      </c>
      <c r="K26" s="289">
        <v>10800</v>
      </c>
      <c r="L26" s="290">
        <v>44530</v>
      </c>
      <c r="M26" s="290">
        <v>44895</v>
      </c>
      <c r="N26">
        <v>365</v>
      </c>
      <c r="O26" s="291" t="s">
        <v>334</v>
      </c>
      <c r="P26" t="s">
        <v>349</v>
      </c>
      <c r="Q26" s="292">
        <v>0</v>
      </c>
      <c r="R26" s="292">
        <v>2700</v>
      </c>
      <c r="S26" s="277">
        <v>900</v>
      </c>
      <c r="T26" s="277">
        <v>900</v>
      </c>
      <c r="U26" s="277">
        <v>900</v>
      </c>
      <c r="V26" s="277">
        <v>900</v>
      </c>
      <c r="W26" s="277">
        <v>900</v>
      </c>
      <c r="X26" s="277">
        <v>900</v>
      </c>
      <c r="Y26" s="277">
        <v>900</v>
      </c>
      <c r="Z26" s="277">
        <v>900</v>
      </c>
      <c r="AA26" s="299">
        <v>999.00000000000011</v>
      </c>
      <c r="AB26" s="299">
        <v>999.00000000000011</v>
      </c>
      <c r="AC26" s="299">
        <v>999.00000000000011</v>
      </c>
      <c r="AD26" s="299">
        <v>999.00000000000011</v>
      </c>
      <c r="AE26" s="299">
        <v>999.00000000000011</v>
      </c>
      <c r="AF26" s="299">
        <v>999.00000000000011</v>
      </c>
      <c r="AG26" s="299">
        <v>999.00000000000011</v>
      </c>
      <c r="AH26" s="299">
        <v>999.00000000000011</v>
      </c>
      <c r="AI26" s="299">
        <v>999.00000000000011</v>
      </c>
      <c r="AJ26" s="299">
        <v>999.00000000000011</v>
      </c>
      <c r="AK26" s="299">
        <v>999.00000000000011</v>
      </c>
      <c r="AL26" s="299">
        <v>999.00000000000011</v>
      </c>
      <c r="AM26" s="299">
        <v>1108.8900000000003</v>
      </c>
      <c r="AN26" s="299">
        <v>1108.8900000000003</v>
      </c>
      <c r="AO26" s="299">
        <v>1108.8900000000003</v>
      </c>
      <c r="AP26" s="299">
        <v>1108.8900000000003</v>
      </c>
      <c r="AQ26" s="299">
        <v>1108.8900000000003</v>
      </c>
      <c r="AR26" s="299">
        <v>1108.8900000000003</v>
      </c>
      <c r="AS26" s="299">
        <v>1108.8900000000003</v>
      </c>
      <c r="AT26" s="299">
        <v>1108.8900000000003</v>
      </c>
      <c r="AU26" s="299">
        <v>1108.8900000000003</v>
      </c>
      <c r="AV26" s="299">
        <v>1108.8900000000003</v>
      </c>
      <c r="AW26" s="299">
        <v>1108.8900000000003</v>
      </c>
      <c r="AX26" s="299">
        <v>1108.8900000000003</v>
      </c>
      <c r="AY26" s="299">
        <v>1230.8679000000004</v>
      </c>
    </row>
    <row r="27" spans="2:53">
      <c r="C27" s="287">
        <v>346660</v>
      </c>
      <c r="D27" t="s">
        <v>344</v>
      </c>
      <c r="E27" t="s">
        <v>345</v>
      </c>
      <c r="F27">
        <v>319</v>
      </c>
      <c r="G27" t="s">
        <v>363</v>
      </c>
      <c r="H27" s="288">
        <v>22510184920</v>
      </c>
      <c r="I27" t="s">
        <v>364</v>
      </c>
      <c r="J27" t="s">
        <v>365</v>
      </c>
      <c r="K27" s="289">
        <v>8880</v>
      </c>
      <c r="L27" s="290">
        <v>44317</v>
      </c>
      <c r="M27" s="290">
        <v>44682</v>
      </c>
      <c r="N27">
        <v>365</v>
      </c>
      <c r="O27" s="291" t="s">
        <v>334</v>
      </c>
      <c r="P27" t="s">
        <v>349</v>
      </c>
      <c r="Q27" s="292">
        <v>5377.43</v>
      </c>
      <c r="R27" s="292">
        <v>2437.41</v>
      </c>
      <c r="S27" s="277">
        <v>1200</v>
      </c>
      <c r="T27" s="277">
        <v>1200</v>
      </c>
      <c r="U27" s="299">
        <v>1200</v>
      </c>
      <c r="V27" s="294">
        <v>1332.0000000000002</v>
      </c>
      <c r="W27" s="301">
        <v>1332.0000000000002</v>
      </c>
      <c r="X27" s="301">
        <v>1332.0000000000002</v>
      </c>
      <c r="Y27" s="301">
        <v>1332.0000000000002</v>
      </c>
      <c r="Z27" s="301">
        <v>1332.0000000000002</v>
      </c>
      <c r="AA27" s="301">
        <v>1332.0000000000002</v>
      </c>
      <c r="AB27" s="301">
        <v>1332.0000000000002</v>
      </c>
      <c r="AC27" s="301">
        <v>1332.0000000000002</v>
      </c>
      <c r="AD27" s="301">
        <v>1332.0000000000002</v>
      </c>
      <c r="AE27" s="301">
        <v>1332.0000000000002</v>
      </c>
      <c r="AF27" s="301">
        <v>1332.0000000000002</v>
      </c>
      <c r="AG27" s="301">
        <v>1332.0000000000002</v>
      </c>
      <c r="AH27" s="301">
        <v>1478.5200000000004</v>
      </c>
      <c r="AI27" s="300">
        <v>1478.5200000000004</v>
      </c>
      <c r="AJ27" s="300">
        <v>1478.5200000000004</v>
      </c>
      <c r="AK27" s="300">
        <v>1478.5200000000004</v>
      </c>
      <c r="AL27" s="300">
        <v>1478.5200000000004</v>
      </c>
      <c r="AM27" s="300">
        <v>1478.5200000000004</v>
      </c>
      <c r="AN27" s="300">
        <v>1478.5200000000004</v>
      </c>
      <c r="AO27" s="300">
        <v>1478.5200000000004</v>
      </c>
      <c r="AP27" s="300">
        <v>1478.5200000000004</v>
      </c>
      <c r="AQ27" s="300">
        <v>1478.5200000000004</v>
      </c>
      <c r="AR27" s="300">
        <v>1478.5200000000004</v>
      </c>
      <c r="AS27" s="300">
        <v>1478.5200000000004</v>
      </c>
      <c r="AT27" s="299">
        <v>1641.1572000000006</v>
      </c>
      <c r="AU27" s="299">
        <v>1641.1572000000006</v>
      </c>
      <c r="AV27" s="299">
        <v>1641.1572000000006</v>
      </c>
      <c r="AW27" s="299">
        <v>1641.1572000000006</v>
      </c>
      <c r="AX27" s="299">
        <v>1641.1572000000006</v>
      </c>
      <c r="AY27" s="299">
        <v>1641.1572000000006</v>
      </c>
    </row>
    <row r="28" spans="2:53">
      <c r="C28" s="287">
        <v>361856</v>
      </c>
      <c r="D28" t="s">
        <v>344</v>
      </c>
      <c r="E28" t="s">
        <v>345</v>
      </c>
      <c r="F28">
        <v>319</v>
      </c>
      <c r="G28" t="s">
        <v>363</v>
      </c>
      <c r="H28" s="305">
        <v>22510184920</v>
      </c>
      <c r="I28" t="s">
        <v>364</v>
      </c>
      <c r="J28" t="s">
        <v>366</v>
      </c>
      <c r="K28" s="289">
        <v>10100</v>
      </c>
      <c r="L28" s="290">
        <v>44682</v>
      </c>
      <c r="M28" s="290">
        <v>45046</v>
      </c>
      <c r="N28">
        <v>364</v>
      </c>
      <c r="O28" s="291" t="s">
        <v>334</v>
      </c>
      <c r="P28" t="s">
        <v>349</v>
      </c>
      <c r="Q28" s="292">
        <v>0</v>
      </c>
      <c r="R28" s="292">
        <v>0</v>
      </c>
      <c r="S28" s="277">
        <v>200</v>
      </c>
      <c r="T28" s="277">
        <v>200</v>
      </c>
      <c r="U28" s="277">
        <v>200</v>
      </c>
      <c r="V28" s="303">
        <v>200</v>
      </c>
      <c r="W28" s="293">
        <v>220.00000000000003</v>
      </c>
      <c r="X28" s="306">
        <v>220</v>
      </c>
      <c r="Y28" s="306">
        <v>220</v>
      </c>
      <c r="Z28" s="306">
        <v>220</v>
      </c>
      <c r="AA28" s="306">
        <v>220</v>
      </c>
      <c r="AB28" s="306">
        <v>220</v>
      </c>
      <c r="AC28" s="306">
        <v>220</v>
      </c>
      <c r="AD28" s="306">
        <v>220</v>
      </c>
      <c r="AE28" s="306">
        <v>220</v>
      </c>
      <c r="AF28" s="307">
        <v>220</v>
      </c>
      <c r="AG28" s="307">
        <v>220</v>
      </c>
      <c r="AH28" s="307">
        <v>220</v>
      </c>
      <c r="AI28" s="300">
        <v>242.00000000000003</v>
      </c>
      <c r="AJ28" s="300">
        <v>242.00000000000003</v>
      </c>
      <c r="AK28" s="300">
        <v>242.00000000000003</v>
      </c>
      <c r="AL28" s="300">
        <v>242.00000000000003</v>
      </c>
      <c r="AM28" s="300">
        <v>242.00000000000003</v>
      </c>
      <c r="AN28" s="300">
        <v>242.00000000000003</v>
      </c>
      <c r="AO28" s="300">
        <v>242.00000000000003</v>
      </c>
      <c r="AP28" s="300">
        <v>242.00000000000003</v>
      </c>
      <c r="AQ28" s="300">
        <v>242.00000000000003</v>
      </c>
      <c r="AR28" s="300">
        <v>242.00000000000003</v>
      </c>
      <c r="AS28" s="300">
        <v>242.00000000000003</v>
      </c>
      <c r="AT28" s="300">
        <v>242.00000000000003</v>
      </c>
      <c r="AU28" s="300">
        <v>266.20000000000005</v>
      </c>
      <c r="AV28" s="300">
        <v>266.20000000000005</v>
      </c>
      <c r="AW28" s="300">
        <v>266.20000000000005</v>
      </c>
      <c r="AX28" s="300">
        <v>266.20000000000005</v>
      </c>
      <c r="AY28" s="300">
        <v>266.20000000000005</v>
      </c>
    </row>
    <row r="29" spans="2:53">
      <c r="C29" s="287">
        <v>360054</v>
      </c>
      <c r="D29" t="s">
        <v>344</v>
      </c>
      <c r="E29" t="s">
        <v>353</v>
      </c>
      <c r="F29">
        <v>319</v>
      </c>
      <c r="G29" t="s">
        <v>367</v>
      </c>
      <c r="H29" s="288">
        <v>646227971</v>
      </c>
      <c r="I29" t="s">
        <v>368</v>
      </c>
      <c r="J29" t="s">
        <v>369</v>
      </c>
      <c r="K29" s="289">
        <v>10395</v>
      </c>
      <c r="L29" s="290">
        <v>44593</v>
      </c>
      <c r="M29" s="290">
        <v>44957</v>
      </c>
      <c r="N29">
        <v>364</v>
      </c>
      <c r="O29" s="291" t="s">
        <v>334</v>
      </c>
      <c r="P29" t="s">
        <v>349</v>
      </c>
      <c r="Q29" s="292">
        <v>0</v>
      </c>
      <c r="R29" s="292">
        <v>866.25</v>
      </c>
      <c r="S29" s="277">
        <v>3626.07</v>
      </c>
      <c r="T29" s="277">
        <v>3626.07</v>
      </c>
      <c r="U29" s="277">
        <v>3626.07</v>
      </c>
      <c r="V29" s="277">
        <v>3626.07</v>
      </c>
      <c r="W29" s="277">
        <v>3626.07</v>
      </c>
      <c r="X29" s="277">
        <v>3626.07</v>
      </c>
      <c r="Y29" s="277">
        <v>3626.07</v>
      </c>
      <c r="Z29" s="277">
        <v>3626.07</v>
      </c>
      <c r="AA29" s="277">
        <v>3626.07</v>
      </c>
      <c r="AB29" s="277">
        <v>3626.07</v>
      </c>
      <c r="AC29" s="299">
        <v>3626.07</v>
      </c>
      <c r="AD29" s="299">
        <v>3626.07</v>
      </c>
      <c r="AE29" s="299">
        <v>3626.07</v>
      </c>
      <c r="AF29" s="300">
        <v>3626.07</v>
      </c>
      <c r="AG29" s="299">
        <v>3988.6770000000006</v>
      </c>
      <c r="AH29" s="299">
        <v>3988.6770000000006</v>
      </c>
      <c r="AI29" s="299">
        <v>3988.6770000000006</v>
      </c>
      <c r="AJ29" s="299">
        <v>3988.6770000000006</v>
      </c>
      <c r="AK29" s="299">
        <v>3988.6770000000006</v>
      </c>
      <c r="AL29" s="299">
        <v>3988.6770000000006</v>
      </c>
      <c r="AM29" s="299">
        <v>3988.6770000000006</v>
      </c>
      <c r="AN29" s="299">
        <v>3988.6770000000006</v>
      </c>
      <c r="AO29" s="299">
        <v>3988.6770000000006</v>
      </c>
      <c r="AP29" s="299">
        <v>3988.6770000000006</v>
      </c>
      <c r="AQ29" s="299">
        <v>3988.6770000000006</v>
      </c>
      <c r="AR29" s="299">
        <v>3988.6770000000006</v>
      </c>
      <c r="AS29" s="299">
        <v>4427.4314700000014</v>
      </c>
      <c r="AT29" s="299">
        <v>4427.4314700000014</v>
      </c>
      <c r="AU29" s="299">
        <v>4427.4314700000014</v>
      </c>
      <c r="AV29" s="299">
        <v>4427.4314700000014</v>
      </c>
      <c r="AW29" s="299">
        <v>4427.4314700000014</v>
      </c>
      <c r="AX29" s="299">
        <v>4427.4314700000014</v>
      </c>
      <c r="AY29" s="299">
        <v>4427.4314700000014</v>
      </c>
    </row>
    <row r="30" spans="2:53">
      <c r="C30" s="287">
        <v>358645</v>
      </c>
      <c r="D30" t="s">
        <v>344</v>
      </c>
      <c r="E30" t="s">
        <v>345</v>
      </c>
      <c r="F30">
        <v>319</v>
      </c>
      <c r="G30" t="s">
        <v>370</v>
      </c>
      <c r="H30" s="288">
        <v>80970621949</v>
      </c>
      <c r="I30" t="s">
        <v>371</v>
      </c>
      <c r="J30" t="s">
        <v>372</v>
      </c>
      <c r="K30" s="289">
        <v>14940</v>
      </c>
      <c r="L30" s="290">
        <v>44531</v>
      </c>
      <c r="M30" s="290">
        <v>44895</v>
      </c>
      <c r="N30">
        <v>364</v>
      </c>
      <c r="O30" s="291" t="s">
        <v>334</v>
      </c>
      <c r="P30" t="s">
        <v>349</v>
      </c>
      <c r="Q30" s="292">
        <v>0</v>
      </c>
      <c r="R30" s="292">
        <v>4980.0000000000009</v>
      </c>
      <c r="S30" s="277">
        <v>1245</v>
      </c>
      <c r="T30" s="277">
        <v>1245</v>
      </c>
      <c r="U30" s="277">
        <v>1245</v>
      </c>
      <c r="V30" s="277">
        <v>1245</v>
      </c>
      <c r="W30" s="277">
        <v>1245</v>
      </c>
      <c r="X30" s="277">
        <v>1245</v>
      </c>
      <c r="Y30" s="277">
        <v>1245</v>
      </c>
      <c r="Z30" s="277">
        <v>1245</v>
      </c>
      <c r="AA30" s="300">
        <v>1381.95</v>
      </c>
      <c r="AB30" s="300">
        <v>1381.95</v>
      </c>
      <c r="AC30" s="300">
        <v>1381.95</v>
      </c>
      <c r="AD30" s="300">
        <v>1381.95</v>
      </c>
      <c r="AE30" s="300">
        <v>1381.95</v>
      </c>
      <c r="AF30" s="300">
        <v>1381.95</v>
      </c>
      <c r="AG30" s="300">
        <v>1381.95</v>
      </c>
      <c r="AH30" s="300">
        <v>1381.95</v>
      </c>
      <c r="AI30" s="300">
        <v>1381.95</v>
      </c>
      <c r="AJ30" s="300">
        <v>1381.95</v>
      </c>
      <c r="AK30" s="300">
        <v>1381.95</v>
      </c>
      <c r="AL30" s="300">
        <v>1381.95</v>
      </c>
      <c r="AM30" s="299">
        <v>1533.9645000000003</v>
      </c>
      <c r="AN30" s="307">
        <v>1533.9645000000003</v>
      </c>
      <c r="AO30" s="307">
        <v>1533.9645000000003</v>
      </c>
      <c r="AP30" s="307">
        <v>1533.9645000000003</v>
      </c>
      <c r="AQ30" s="307">
        <v>1533.9645000000003</v>
      </c>
      <c r="AR30" s="307">
        <v>1533.9645000000003</v>
      </c>
      <c r="AS30" s="307">
        <v>1533.9645000000003</v>
      </c>
      <c r="AT30" s="307">
        <v>1533.9645000000003</v>
      </c>
      <c r="AU30" s="307">
        <v>1533.9645000000003</v>
      </c>
      <c r="AV30" s="307">
        <v>1533.9645000000003</v>
      </c>
      <c r="AW30" s="307">
        <v>1533.9645000000003</v>
      </c>
      <c r="AX30" s="307">
        <v>1533.9645000000003</v>
      </c>
      <c r="AY30" s="299">
        <v>1702.7005950000005</v>
      </c>
    </row>
    <row r="31" spans="2:53">
      <c r="C31" s="287">
        <v>334916</v>
      </c>
      <c r="D31" t="s">
        <v>344</v>
      </c>
      <c r="E31" t="s">
        <v>345</v>
      </c>
      <c r="F31">
        <v>319</v>
      </c>
      <c r="G31" t="s">
        <v>373</v>
      </c>
      <c r="H31" s="288">
        <v>49168754949</v>
      </c>
      <c r="I31" t="s">
        <v>374</v>
      </c>
      <c r="J31" t="s">
        <v>375</v>
      </c>
      <c r="K31" s="289">
        <v>208881</v>
      </c>
      <c r="L31" s="290">
        <v>43983</v>
      </c>
      <c r="M31" s="290">
        <v>45078</v>
      </c>
      <c r="N31">
        <v>1095</v>
      </c>
      <c r="O31" s="291" t="s">
        <v>334</v>
      </c>
      <c r="P31" t="s">
        <v>349</v>
      </c>
      <c r="Q31" s="292">
        <v>63824.75</v>
      </c>
      <c r="R31" s="292">
        <v>23209</v>
      </c>
      <c r="S31" s="277">
        <v>5802.25</v>
      </c>
      <c r="T31" s="277">
        <v>5802.25</v>
      </c>
      <c r="U31" s="277">
        <v>5802.25</v>
      </c>
      <c r="V31" s="293">
        <v>6440.4975000000004</v>
      </c>
      <c r="W31" s="298">
        <v>6440.4975000000004</v>
      </c>
      <c r="X31" s="298">
        <v>6440.4975000000004</v>
      </c>
      <c r="Y31" s="298">
        <v>6440.4975000000004</v>
      </c>
      <c r="Z31" s="298">
        <v>6440.4975000000004</v>
      </c>
      <c r="AA31" s="298">
        <v>6440.4975000000004</v>
      </c>
      <c r="AB31" s="298">
        <v>6440.4975000000004</v>
      </c>
      <c r="AC31" s="298">
        <v>6440.4975000000004</v>
      </c>
      <c r="AD31" s="298">
        <v>6440.4975000000004</v>
      </c>
      <c r="AE31" s="298">
        <v>6440.4975000000004</v>
      </c>
      <c r="AF31" s="298">
        <v>6440.4975000000004</v>
      </c>
      <c r="AG31" s="298">
        <v>6440.4975000000004</v>
      </c>
      <c r="AH31" s="301">
        <v>7148.9522250000009</v>
      </c>
      <c r="AI31" s="307">
        <v>7148.9522250000009</v>
      </c>
      <c r="AJ31" s="307">
        <v>7148.9522250000009</v>
      </c>
      <c r="AK31" s="307">
        <v>7148.9522250000009</v>
      </c>
      <c r="AL31" s="307">
        <v>7148.9522250000009</v>
      </c>
      <c r="AM31" s="307">
        <v>7148.9522250000009</v>
      </c>
      <c r="AN31" s="307">
        <v>7148.9522250000009</v>
      </c>
      <c r="AO31" s="307">
        <v>7148.9522250000009</v>
      </c>
      <c r="AP31" s="307">
        <v>7148.9522250000009</v>
      </c>
      <c r="AQ31" s="307">
        <v>7148.9522250000009</v>
      </c>
      <c r="AR31" s="307">
        <v>7148.9522250000009</v>
      </c>
      <c r="AS31" s="307">
        <v>7148.9522250000009</v>
      </c>
      <c r="AT31" s="307">
        <v>7148.9522250000009</v>
      </c>
      <c r="AU31" s="299">
        <v>7935.336969750002</v>
      </c>
      <c r="AV31" s="299">
        <v>7935.336969750002</v>
      </c>
      <c r="AW31" s="299">
        <v>7935.336969750002</v>
      </c>
      <c r="AX31" s="299">
        <v>7935.336969750002</v>
      </c>
      <c r="AY31" s="299">
        <v>7935.336969750002</v>
      </c>
    </row>
    <row r="32" spans="2:53">
      <c r="C32" s="287">
        <v>352590</v>
      </c>
      <c r="D32" t="s">
        <v>344</v>
      </c>
      <c r="E32" t="s">
        <v>345</v>
      </c>
      <c r="F32">
        <v>319</v>
      </c>
      <c r="G32" t="s">
        <v>373</v>
      </c>
      <c r="H32" s="302">
        <v>4591101000135</v>
      </c>
      <c r="I32" t="s">
        <v>376</v>
      </c>
      <c r="J32" t="s">
        <v>377</v>
      </c>
      <c r="K32" s="289">
        <v>132485.46</v>
      </c>
      <c r="L32" s="290">
        <v>44470</v>
      </c>
      <c r="M32" s="290">
        <v>45199</v>
      </c>
      <c r="N32">
        <v>729</v>
      </c>
      <c r="O32" s="291" t="s">
        <v>334</v>
      </c>
      <c r="P32" t="s">
        <v>349</v>
      </c>
      <c r="Q32" s="292">
        <v>10750.2</v>
      </c>
      <c r="R32" s="292">
        <v>16125.300000000001</v>
      </c>
      <c r="S32" s="277">
        <v>5375.1</v>
      </c>
      <c r="T32" s="277">
        <v>5375.1</v>
      </c>
      <c r="U32" s="277">
        <v>5375.1</v>
      </c>
      <c r="V32" s="277">
        <v>5375.1</v>
      </c>
      <c r="W32" s="277">
        <v>5375.1</v>
      </c>
      <c r="X32" s="277">
        <v>5375.1</v>
      </c>
      <c r="Y32" s="277">
        <v>5966.3610000000008</v>
      </c>
      <c r="Z32" s="277">
        <v>5966.3610000000008</v>
      </c>
      <c r="AA32" s="277">
        <v>5966.3610000000008</v>
      </c>
      <c r="AB32" s="277">
        <v>5966.3610000000008</v>
      </c>
      <c r="AC32" s="277">
        <v>5966.3610000000008</v>
      </c>
      <c r="AD32" s="277">
        <v>5966.3610000000008</v>
      </c>
      <c r="AE32" s="277">
        <v>5966.3610000000008</v>
      </c>
      <c r="AF32" s="277">
        <v>5966.3610000000008</v>
      </c>
      <c r="AG32" s="277">
        <v>5966.3610000000008</v>
      </c>
      <c r="AH32" s="277">
        <v>5966.3610000000008</v>
      </c>
      <c r="AI32" s="277">
        <v>5966.3610000000008</v>
      </c>
      <c r="AJ32" s="277">
        <v>5966.3610000000008</v>
      </c>
      <c r="AK32" s="299">
        <v>6622.660710000001</v>
      </c>
      <c r="AL32" s="299">
        <v>6622.660710000001</v>
      </c>
      <c r="AM32" s="299">
        <v>6622.660710000001</v>
      </c>
      <c r="AN32" s="299">
        <v>6622.660710000001</v>
      </c>
      <c r="AO32" s="299">
        <v>6622.660710000001</v>
      </c>
      <c r="AP32" s="299">
        <v>6622.660710000001</v>
      </c>
      <c r="AQ32" s="299">
        <v>6622.660710000001</v>
      </c>
      <c r="AR32" s="299">
        <v>6622.660710000001</v>
      </c>
      <c r="AS32" s="299">
        <v>6622.660710000001</v>
      </c>
      <c r="AT32" s="299">
        <v>6622.660710000001</v>
      </c>
      <c r="AU32" s="299">
        <v>6622.660710000001</v>
      </c>
      <c r="AV32" s="299">
        <v>6622.660710000001</v>
      </c>
      <c r="AW32" s="299">
        <v>7351.1533881000014</v>
      </c>
      <c r="AX32" s="299">
        <v>7351.1533881000014</v>
      </c>
      <c r="AY32" s="299">
        <v>7351.1533881000014</v>
      </c>
    </row>
    <row r="33" spans="3:51">
      <c r="C33" s="287">
        <v>352407</v>
      </c>
      <c r="D33" t="s">
        <v>344</v>
      </c>
      <c r="E33" t="s">
        <v>359</v>
      </c>
      <c r="F33">
        <v>319</v>
      </c>
      <c r="G33" t="s">
        <v>378</v>
      </c>
      <c r="H33" s="288">
        <v>98015788900</v>
      </c>
      <c r="I33" t="s">
        <v>379</v>
      </c>
      <c r="J33" t="s">
        <v>380</v>
      </c>
      <c r="K33" s="289">
        <v>54297.56</v>
      </c>
      <c r="L33" s="290">
        <v>44428</v>
      </c>
      <c r="M33" s="290">
        <v>45888</v>
      </c>
      <c r="N33">
        <v>1460</v>
      </c>
      <c r="O33" s="291" t="s">
        <v>334</v>
      </c>
      <c r="P33" t="s">
        <v>349</v>
      </c>
      <c r="Q33" s="292">
        <v>3790.88</v>
      </c>
      <c r="R33" s="292">
        <v>3300</v>
      </c>
      <c r="S33" s="277">
        <v>1100</v>
      </c>
      <c r="T33" s="277">
        <v>1100</v>
      </c>
      <c r="U33" s="277">
        <v>1100</v>
      </c>
      <c r="V33" s="277">
        <v>1100</v>
      </c>
      <c r="W33" s="277">
        <v>1100</v>
      </c>
      <c r="X33" s="277">
        <v>1221</v>
      </c>
      <c r="Y33" s="277">
        <v>1221</v>
      </c>
      <c r="Z33" s="277">
        <v>1221</v>
      </c>
      <c r="AA33" s="277">
        <v>1221</v>
      </c>
      <c r="AB33" s="277">
        <v>1221</v>
      </c>
      <c r="AC33" s="277">
        <v>1221</v>
      </c>
      <c r="AD33" s="277">
        <v>1221</v>
      </c>
      <c r="AE33" s="277">
        <v>1221</v>
      </c>
      <c r="AF33" s="277">
        <v>1221</v>
      </c>
      <c r="AG33" s="277">
        <v>1221</v>
      </c>
      <c r="AH33" s="277">
        <v>1221</v>
      </c>
      <c r="AI33" s="277">
        <v>1221</v>
      </c>
      <c r="AJ33">
        <v>1355.3100000000002</v>
      </c>
      <c r="AK33">
        <v>1355.3100000000002</v>
      </c>
      <c r="AL33">
        <v>1355.3100000000002</v>
      </c>
      <c r="AM33">
        <v>1355.3100000000002</v>
      </c>
      <c r="AN33">
        <v>1355.3100000000002</v>
      </c>
      <c r="AO33">
        <v>1355.3100000000002</v>
      </c>
      <c r="AP33">
        <v>1355.3100000000002</v>
      </c>
      <c r="AQ33">
        <v>1355.3100000000002</v>
      </c>
      <c r="AR33">
        <v>1355.3100000000002</v>
      </c>
      <c r="AS33">
        <v>1355.3100000000002</v>
      </c>
      <c r="AT33">
        <v>1355.3100000000002</v>
      </c>
      <c r="AU33">
        <v>1355.3100000000002</v>
      </c>
      <c r="AV33" s="277">
        <v>1504.3941000000004</v>
      </c>
      <c r="AW33" s="277">
        <v>1504.3941000000004</v>
      </c>
      <c r="AX33" s="277">
        <v>1504.3941000000004</v>
      </c>
      <c r="AY33" s="277">
        <v>1504.3941000000004</v>
      </c>
    </row>
    <row r="34" spans="3:51">
      <c r="C34" s="287">
        <v>351147</v>
      </c>
      <c r="D34" t="s">
        <v>344</v>
      </c>
      <c r="E34" t="s">
        <v>345</v>
      </c>
      <c r="F34">
        <v>319</v>
      </c>
      <c r="G34" t="s">
        <v>381</v>
      </c>
      <c r="H34" s="288">
        <v>76065317000178</v>
      </c>
      <c r="I34" t="s">
        <v>382</v>
      </c>
      <c r="J34" t="s">
        <v>383</v>
      </c>
      <c r="K34" s="289">
        <v>80867.199999999997</v>
      </c>
      <c r="L34" s="290">
        <v>44409</v>
      </c>
      <c r="M34" s="290">
        <v>44773</v>
      </c>
      <c r="N34">
        <v>364</v>
      </c>
      <c r="O34" s="291" t="s">
        <v>334</v>
      </c>
      <c r="P34" t="s">
        <v>349</v>
      </c>
      <c r="Q34" s="292">
        <v>25622.400000000001</v>
      </c>
      <c r="R34" s="292">
        <v>19216.800000000003</v>
      </c>
      <c r="S34" s="277">
        <v>6405.6</v>
      </c>
      <c r="T34" s="277">
        <v>6405.6</v>
      </c>
      <c r="U34" s="277">
        <v>6405.6</v>
      </c>
      <c r="V34" s="277">
        <v>6405.6</v>
      </c>
      <c r="W34" s="301">
        <v>6404.4900000000007</v>
      </c>
      <c r="X34" s="300">
        <v>6404.4900000000007</v>
      </c>
      <c r="Y34" s="300">
        <v>6404.4900000000007</v>
      </c>
      <c r="Z34" s="300">
        <v>6404.4900000000007</v>
      </c>
      <c r="AA34" s="300">
        <v>6404.4900000000007</v>
      </c>
      <c r="AB34" s="300">
        <v>6404.4900000000007</v>
      </c>
      <c r="AC34" s="300">
        <v>6404.4900000000007</v>
      </c>
      <c r="AD34" s="300">
        <v>6404.4900000000007</v>
      </c>
      <c r="AE34" s="300">
        <v>6404.4900000000007</v>
      </c>
      <c r="AF34" s="300">
        <v>6404.4900000000007</v>
      </c>
      <c r="AG34" s="300">
        <v>6404.4900000000007</v>
      </c>
      <c r="AH34" s="300">
        <v>6404.4900000000007</v>
      </c>
      <c r="AI34" s="299">
        <v>7108.9839000000011</v>
      </c>
      <c r="AJ34" s="299">
        <v>7108.9839000000011</v>
      </c>
      <c r="AK34" s="299">
        <v>7108.9839000000011</v>
      </c>
      <c r="AL34" s="299">
        <v>7108.9839000000011</v>
      </c>
      <c r="AM34" s="299">
        <v>7108.9839000000011</v>
      </c>
      <c r="AN34" s="299">
        <v>7108.9839000000011</v>
      </c>
      <c r="AO34" s="299">
        <v>7108.9839000000011</v>
      </c>
      <c r="AP34" s="299">
        <v>7108.9839000000011</v>
      </c>
      <c r="AQ34" s="299">
        <v>7108.9839000000011</v>
      </c>
      <c r="AR34" s="299">
        <v>7108.9839000000011</v>
      </c>
      <c r="AS34" s="299">
        <v>7108.9839000000011</v>
      </c>
      <c r="AT34" s="299">
        <v>7108.9839000000011</v>
      </c>
      <c r="AU34" s="299">
        <v>7890.9721290000016</v>
      </c>
      <c r="AV34" s="299">
        <v>7890.9721290000016</v>
      </c>
      <c r="AW34" s="299">
        <v>7890.9721290000016</v>
      </c>
      <c r="AX34" s="299">
        <v>7890.9721290000016</v>
      </c>
      <c r="AY34" s="299">
        <v>7890.9721290000016</v>
      </c>
    </row>
    <row r="35" spans="3:51">
      <c r="C35" s="287">
        <v>347877</v>
      </c>
      <c r="D35" t="s">
        <v>344</v>
      </c>
      <c r="E35" t="s">
        <v>384</v>
      </c>
      <c r="F35">
        <v>319</v>
      </c>
      <c r="G35" t="s">
        <v>381</v>
      </c>
      <c r="H35" s="288">
        <v>75992438000100</v>
      </c>
      <c r="I35" t="s">
        <v>385</v>
      </c>
      <c r="J35" t="s">
        <v>386</v>
      </c>
      <c r="K35" s="289">
        <v>150884.16</v>
      </c>
      <c r="L35" s="290">
        <v>44287</v>
      </c>
      <c r="M35" s="290">
        <v>45747</v>
      </c>
      <c r="N35">
        <v>1460</v>
      </c>
      <c r="O35" s="291" t="s">
        <v>334</v>
      </c>
      <c r="P35" t="s">
        <v>349</v>
      </c>
      <c r="Q35" s="292">
        <v>76337.959999999992</v>
      </c>
      <c r="R35" s="292">
        <v>0</v>
      </c>
      <c r="S35" s="277">
        <v>30176.832000000002</v>
      </c>
      <c r="T35" s="277">
        <v>30176.832000000002</v>
      </c>
      <c r="U35" s="277">
        <v>30176.832000000002</v>
      </c>
      <c r="V35" s="277">
        <v>30176.832000000002</v>
      </c>
      <c r="W35" s="277">
        <v>30176.832000000002</v>
      </c>
      <c r="X35" s="277">
        <v>30176.832000000002</v>
      </c>
      <c r="Y35" s="277">
        <v>30176.832000000002</v>
      </c>
      <c r="Z35" s="277">
        <v>30176.832000000002</v>
      </c>
      <c r="AA35" s="277">
        <v>30176.832000000002</v>
      </c>
      <c r="AB35" s="277">
        <v>30176.832000000002</v>
      </c>
      <c r="AC35" s="277">
        <v>30176.832000000002</v>
      </c>
      <c r="AD35" s="277">
        <v>30176.832000000002</v>
      </c>
      <c r="AE35" s="277">
        <v>33496.283520000005</v>
      </c>
      <c r="AF35" s="277">
        <v>33496.283520000005</v>
      </c>
      <c r="AG35" s="277">
        <v>33496.283520000005</v>
      </c>
      <c r="AH35" s="277">
        <v>33496.283520000005</v>
      </c>
      <c r="AI35" s="277">
        <v>33496.283520000005</v>
      </c>
      <c r="AJ35" s="277">
        <v>33496.283520000005</v>
      </c>
      <c r="AK35" s="277">
        <v>33496.283520000005</v>
      </c>
      <c r="AL35" s="277">
        <v>33496.283520000005</v>
      </c>
      <c r="AM35" s="277">
        <v>33496.283520000005</v>
      </c>
      <c r="AN35" s="277">
        <v>33496.283520000005</v>
      </c>
      <c r="AO35" s="277">
        <v>33496.283520000005</v>
      </c>
      <c r="AP35" s="277">
        <v>33496.283520000005</v>
      </c>
      <c r="AQ35" s="277">
        <v>37180.874707200011</v>
      </c>
      <c r="AR35" s="277">
        <v>37180.874707200011</v>
      </c>
      <c r="AS35" s="277">
        <v>37180.874707200011</v>
      </c>
      <c r="AT35" s="277">
        <v>37180.874707200011</v>
      </c>
      <c r="AU35" s="277">
        <v>37180.874707200011</v>
      </c>
      <c r="AV35" s="277">
        <v>37180.874707200011</v>
      </c>
      <c r="AW35" s="277">
        <v>37180.874707200011</v>
      </c>
      <c r="AX35" s="277">
        <v>37180.874707200011</v>
      </c>
      <c r="AY35" s="277">
        <v>37180.874707200011</v>
      </c>
    </row>
    <row r="36" spans="3:51">
      <c r="C36" s="287">
        <v>331488</v>
      </c>
      <c r="D36" t="s">
        <v>344</v>
      </c>
      <c r="E36" t="s">
        <v>359</v>
      </c>
      <c r="F36">
        <v>319</v>
      </c>
      <c r="G36" t="s">
        <v>381</v>
      </c>
      <c r="H36" s="288">
        <v>75992438000100</v>
      </c>
      <c r="I36" t="s">
        <v>385</v>
      </c>
      <c r="J36" t="s">
        <v>387</v>
      </c>
      <c r="K36" s="289">
        <v>2857674.8</v>
      </c>
      <c r="L36" s="290">
        <v>43913</v>
      </c>
      <c r="M36" s="290">
        <v>45713</v>
      </c>
      <c r="N36">
        <v>1800</v>
      </c>
      <c r="O36" s="291" t="s">
        <v>334</v>
      </c>
      <c r="P36" t="s">
        <v>349</v>
      </c>
      <c r="Q36" s="292">
        <v>897525.65</v>
      </c>
      <c r="R36" s="292">
        <v>264901.18999999994</v>
      </c>
      <c r="S36" s="277">
        <v>54119.78</v>
      </c>
      <c r="T36" s="277">
        <v>54119.78</v>
      </c>
      <c r="U36" s="277">
        <v>54119.78</v>
      </c>
      <c r="V36" s="277">
        <v>54119.78</v>
      </c>
      <c r="W36" s="277">
        <v>54119.78</v>
      </c>
      <c r="X36" s="277">
        <v>54119.78</v>
      </c>
      <c r="Y36" s="277">
        <v>54119.78</v>
      </c>
      <c r="Z36" s="277">
        <v>54119.78</v>
      </c>
      <c r="AA36" s="277">
        <v>54119.78</v>
      </c>
      <c r="AB36" s="277">
        <v>54119.78</v>
      </c>
      <c r="AC36" s="277">
        <v>54119.78</v>
      </c>
      <c r="AD36" s="277">
        <v>54119.78</v>
      </c>
      <c r="AE36" s="277">
        <v>60072.955800000003</v>
      </c>
      <c r="AF36" s="277">
        <v>60072.955800000003</v>
      </c>
      <c r="AG36" s="277">
        <v>60072.955800000003</v>
      </c>
      <c r="AH36" s="277">
        <v>60072.955800000003</v>
      </c>
      <c r="AI36" s="277">
        <v>60072.955800000003</v>
      </c>
      <c r="AJ36" s="277">
        <v>60072.955800000003</v>
      </c>
      <c r="AK36" s="277">
        <v>60072.955800000003</v>
      </c>
      <c r="AL36" s="277">
        <v>60072.955800000003</v>
      </c>
      <c r="AM36" s="277">
        <v>60072.955800000003</v>
      </c>
      <c r="AN36" s="277">
        <v>60072.955800000003</v>
      </c>
      <c r="AO36" s="277">
        <v>60072.955800000003</v>
      </c>
      <c r="AP36" s="277">
        <v>60072.955800000003</v>
      </c>
      <c r="AQ36" s="277">
        <v>66680.980938000008</v>
      </c>
      <c r="AR36" s="277">
        <v>66680.980938000008</v>
      </c>
      <c r="AS36" s="277">
        <v>66680.980938000008</v>
      </c>
      <c r="AT36" s="277">
        <v>66680.980938000008</v>
      </c>
      <c r="AU36" s="277">
        <v>66680.980938000008</v>
      </c>
      <c r="AV36" s="277">
        <v>66680.980938000008</v>
      </c>
      <c r="AW36" s="277">
        <v>66680.980938000008</v>
      </c>
      <c r="AX36" s="277">
        <v>66680.980938000008</v>
      </c>
      <c r="AY36" s="277">
        <v>66680.980938000008</v>
      </c>
    </row>
    <row r="37" spans="3:51">
      <c r="C37" s="287">
        <v>361997</v>
      </c>
      <c r="D37" t="s">
        <v>344</v>
      </c>
      <c r="E37" t="s">
        <v>359</v>
      </c>
      <c r="F37">
        <v>312</v>
      </c>
      <c r="G37" t="s">
        <v>381</v>
      </c>
      <c r="H37" s="305">
        <v>11273072000129</v>
      </c>
      <c r="I37" t="s">
        <v>388</v>
      </c>
      <c r="J37" t="s">
        <v>389</v>
      </c>
      <c r="K37" s="289">
        <v>10020</v>
      </c>
      <c r="L37" s="290">
        <v>44631</v>
      </c>
      <c r="M37" s="290">
        <v>44996</v>
      </c>
      <c r="N37">
        <v>365</v>
      </c>
      <c r="O37" s="291" t="s">
        <v>334</v>
      </c>
      <c r="P37" t="s">
        <v>349</v>
      </c>
      <c r="Q37" s="292">
        <v>0</v>
      </c>
      <c r="R37" s="292">
        <v>0</v>
      </c>
      <c r="S37" s="277">
        <v>835</v>
      </c>
      <c r="T37" s="277">
        <v>835</v>
      </c>
      <c r="U37" s="277">
        <v>835</v>
      </c>
      <c r="V37" s="277">
        <v>835</v>
      </c>
      <c r="W37" s="277">
        <v>835</v>
      </c>
      <c r="X37" s="277">
        <v>835</v>
      </c>
      <c r="Y37" s="277">
        <v>835</v>
      </c>
      <c r="Z37" s="277">
        <v>835</v>
      </c>
      <c r="AA37" s="277">
        <v>835</v>
      </c>
      <c r="AB37" s="277">
        <v>835</v>
      </c>
      <c r="AC37" s="277">
        <v>835</v>
      </c>
      <c r="AD37" s="277">
        <v>835</v>
      </c>
      <c r="AE37" s="299">
        <v>0</v>
      </c>
      <c r="AF37" s="299">
        <v>0</v>
      </c>
      <c r="AG37" s="299">
        <v>0</v>
      </c>
      <c r="AH37" s="299">
        <v>0</v>
      </c>
      <c r="AI37" s="299">
        <v>0</v>
      </c>
      <c r="AJ37" s="299">
        <v>0</v>
      </c>
      <c r="AK37" s="299">
        <v>0</v>
      </c>
      <c r="AL37" s="299">
        <v>0</v>
      </c>
      <c r="AM37" s="299">
        <v>0</v>
      </c>
      <c r="AN37" s="299">
        <v>0</v>
      </c>
      <c r="AO37" s="299">
        <v>0</v>
      </c>
      <c r="AP37" s="299">
        <v>0</v>
      </c>
      <c r="AQ37" s="299">
        <v>0</v>
      </c>
      <c r="AR37" s="299">
        <v>0</v>
      </c>
      <c r="AS37" s="299">
        <v>0</v>
      </c>
      <c r="AT37" s="299">
        <v>0</v>
      </c>
      <c r="AU37" s="299">
        <v>0</v>
      </c>
      <c r="AV37" s="299">
        <v>0</v>
      </c>
      <c r="AW37" s="299">
        <v>0</v>
      </c>
      <c r="AX37" s="299">
        <v>0</v>
      </c>
      <c r="AY37" s="299">
        <v>0</v>
      </c>
    </row>
    <row r="38" spans="3:51">
      <c r="C38" s="287">
        <v>351077</v>
      </c>
      <c r="D38" t="s">
        <v>344</v>
      </c>
      <c r="E38" t="s">
        <v>345</v>
      </c>
      <c r="F38">
        <v>319</v>
      </c>
      <c r="G38" t="s">
        <v>381</v>
      </c>
      <c r="H38" s="288">
        <v>359385958</v>
      </c>
      <c r="I38" t="s">
        <v>390</v>
      </c>
      <c r="J38" t="s">
        <v>391</v>
      </c>
      <c r="K38" s="289">
        <v>33000</v>
      </c>
      <c r="L38" s="290">
        <v>44409</v>
      </c>
      <c r="M38" s="290">
        <v>44773</v>
      </c>
      <c r="N38">
        <v>364</v>
      </c>
      <c r="O38" s="291" t="s">
        <v>334</v>
      </c>
      <c r="P38" t="s">
        <v>349</v>
      </c>
      <c r="Q38" s="292">
        <v>13750</v>
      </c>
      <c r="R38" s="292">
        <v>8250</v>
      </c>
      <c r="S38" s="277">
        <v>2750</v>
      </c>
      <c r="T38" s="277">
        <v>2750</v>
      </c>
      <c r="U38" s="277">
        <v>2750</v>
      </c>
      <c r="V38" s="277">
        <v>2750</v>
      </c>
      <c r="W38" s="301">
        <v>3052.5000000000005</v>
      </c>
      <c r="X38" s="299">
        <v>3052.5000000000005</v>
      </c>
      <c r="Y38" s="299">
        <v>3052.5000000000005</v>
      </c>
      <c r="Z38" s="299">
        <v>3052.5000000000005</v>
      </c>
      <c r="AA38" s="299">
        <v>3052.5000000000005</v>
      </c>
      <c r="AB38" s="299">
        <v>3052.5000000000005</v>
      </c>
      <c r="AC38" s="299">
        <v>3052.5</v>
      </c>
      <c r="AD38" s="299">
        <v>3052.5</v>
      </c>
      <c r="AE38" s="299">
        <v>3052.5</v>
      </c>
      <c r="AF38" s="299">
        <v>3052.5</v>
      </c>
      <c r="AG38" s="299">
        <v>3052.5</v>
      </c>
      <c r="AH38" s="299">
        <v>3052.5</v>
      </c>
      <c r="AI38" s="299">
        <v>3388.2750000000001</v>
      </c>
      <c r="AJ38" s="299">
        <v>3388.2750000000001</v>
      </c>
      <c r="AK38" s="299">
        <v>3388.2750000000001</v>
      </c>
      <c r="AL38" s="299">
        <v>3388.2750000000001</v>
      </c>
      <c r="AM38" s="299">
        <v>3388.2750000000001</v>
      </c>
      <c r="AN38" s="299">
        <v>3388.2750000000001</v>
      </c>
      <c r="AO38" s="299">
        <v>3388.2750000000001</v>
      </c>
      <c r="AP38" s="299">
        <v>3388.2750000000001</v>
      </c>
      <c r="AQ38" s="299">
        <v>3388.2750000000001</v>
      </c>
      <c r="AR38" s="299">
        <v>3388.2750000000001</v>
      </c>
      <c r="AS38" s="299">
        <v>3388.2750000000001</v>
      </c>
      <c r="AT38" s="299">
        <v>3388.2750000000001</v>
      </c>
      <c r="AU38" s="299">
        <v>3760.9852500000006</v>
      </c>
      <c r="AV38" s="299">
        <v>3760.9852500000006</v>
      </c>
      <c r="AW38" s="299">
        <v>3760.9852500000006</v>
      </c>
      <c r="AX38" s="299">
        <v>3760.9852500000006</v>
      </c>
      <c r="AY38" s="299">
        <v>3760.9852500000006</v>
      </c>
    </row>
    <row r="39" spans="3:51">
      <c r="C39" s="287">
        <v>361142</v>
      </c>
      <c r="D39" t="s">
        <v>344</v>
      </c>
      <c r="E39" t="s">
        <v>359</v>
      </c>
      <c r="F39">
        <v>312</v>
      </c>
      <c r="G39" t="s">
        <v>381</v>
      </c>
      <c r="H39" s="305">
        <v>15419193000197</v>
      </c>
      <c r="I39" t="s">
        <v>392</v>
      </c>
      <c r="J39" t="s">
        <v>393</v>
      </c>
      <c r="K39" s="289">
        <v>8700</v>
      </c>
      <c r="L39" s="290">
        <v>44609</v>
      </c>
      <c r="M39" s="290">
        <v>44974</v>
      </c>
      <c r="N39">
        <v>365</v>
      </c>
      <c r="O39" s="291" t="s">
        <v>334</v>
      </c>
      <c r="P39" t="s">
        <v>349</v>
      </c>
      <c r="Q39" s="292">
        <v>0</v>
      </c>
      <c r="R39" s="292">
        <v>696</v>
      </c>
      <c r="S39" s="277">
        <v>725</v>
      </c>
      <c r="T39" s="277">
        <v>725</v>
      </c>
      <c r="U39" s="277">
        <v>725</v>
      </c>
      <c r="V39" s="277">
        <v>725</v>
      </c>
      <c r="W39" s="277">
        <v>725</v>
      </c>
      <c r="X39" s="277">
        <v>725</v>
      </c>
      <c r="Y39" s="277">
        <v>725</v>
      </c>
      <c r="Z39" s="277">
        <v>725</v>
      </c>
      <c r="AA39" s="277">
        <v>725</v>
      </c>
      <c r="AB39" s="277">
        <v>725</v>
      </c>
      <c r="AC39" s="277">
        <v>725</v>
      </c>
      <c r="AD39" s="300">
        <v>0</v>
      </c>
      <c r="AE39" s="300">
        <v>0</v>
      </c>
      <c r="AF39" s="300">
        <v>0</v>
      </c>
      <c r="AG39" s="300">
        <v>0</v>
      </c>
      <c r="AH39" s="300">
        <v>0</v>
      </c>
      <c r="AI39" s="300">
        <v>0</v>
      </c>
      <c r="AJ39" s="300">
        <v>0</v>
      </c>
      <c r="AK39" s="300">
        <v>0</v>
      </c>
      <c r="AL39" s="300">
        <v>0</v>
      </c>
      <c r="AM39" s="300">
        <v>0</v>
      </c>
      <c r="AN39" s="300">
        <v>0</v>
      </c>
      <c r="AO39" s="300">
        <v>0</v>
      </c>
      <c r="AP39" s="300">
        <v>0</v>
      </c>
      <c r="AQ39" s="300">
        <v>0</v>
      </c>
      <c r="AR39" s="300">
        <v>0</v>
      </c>
      <c r="AS39" s="300">
        <v>0</v>
      </c>
      <c r="AT39" s="300">
        <v>0</v>
      </c>
      <c r="AU39" s="300">
        <v>0</v>
      </c>
      <c r="AV39" s="300">
        <v>0</v>
      </c>
      <c r="AW39" s="300">
        <v>0</v>
      </c>
      <c r="AX39" s="300">
        <v>0</v>
      </c>
      <c r="AY39" s="300">
        <v>0</v>
      </c>
    </row>
    <row r="40" spans="3:51">
      <c r="C40" s="287">
        <v>351829</v>
      </c>
      <c r="D40" t="s">
        <v>344</v>
      </c>
      <c r="E40" t="s">
        <v>353</v>
      </c>
      <c r="F40">
        <v>319</v>
      </c>
      <c r="G40" t="s">
        <v>381</v>
      </c>
      <c r="H40" s="288">
        <v>2947033000179</v>
      </c>
      <c r="I40" t="s">
        <v>394</v>
      </c>
      <c r="J40" t="s">
        <v>395</v>
      </c>
      <c r="K40" s="289">
        <v>301883.40000000002</v>
      </c>
      <c r="L40" s="290">
        <v>44440</v>
      </c>
      <c r="M40" s="290">
        <v>44805</v>
      </c>
      <c r="N40">
        <v>365</v>
      </c>
      <c r="O40" s="291" t="s">
        <v>334</v>
      </c>
      <c r="P40" t="s">
        <v>349</v>
      </c>
      <c r="Q40" s="292">
        <v>100627.8</v>
      </c>
      <c r="R40" s="292">
        <v>75470.850000000006</v>
      </c>
      <c r="S40" s="277">
        <v>25156.95</v>
      </c>
      <c r="T40" s="277">
        <v>25156.95</v>
      </c>
      <c r="U40" s="277">
        <v>25156.95</v>
      </c>
      <c r="V40" s="277">
        <v>25156.95</v>
      </c>
      <c r="W40" s="277">
        <v>25156.95</v>
      </c>
      <c r="X40" s="277">
        <v>25156.95</v>
      </c>
      <c r="Y40" s="299">
        <v>27924.214500000002</v>
      </c>
      <c r="Z40" s="299">
        <v>30995.878095000004</v>
      </c>
      <c r="AA40" s="299">
        <v>34405.424685450009</v>
      </c>
      <c r="AB40" s="299">
        <v>38190.021400849517</v>
      </c>
      <c r="AC40" s="299">
        <v>42390.923754942967</v>
      </c>
      <c r="AD40" s="299">
        <v>47053.925367986696</v>
      </c>
      <c r="AE40" s="299">
        <v>52229.857158465238</v>
      </c>
      <c r="AF40" s="299">
        <v>57975.141445896421</v>
      </c>
      <c r="AG40" s="299">
        <v>64352.407004945031</v>
      </c>
      <c r="AH40" s="299">
        <v>71431.171775488998</v>
      </c>
      <c r="AI40" s="299">
        <v>79288.600670792788</v>
      </c>
      <c r="AJ40" s="299">
        <v>88010.346744580005</v>
      </c>
      <c r="AK40" s="299">
        <v>88010.346744580005</v>
      </c>
      <c r="AL40" s="299">
        <v>88010.346744580005</v>
      </c>
      <c r="AM40" s="299">
        <v>88010.346744580005</v>
      </c>
      <c r="AN40" s="299">
        <v>88010.346744580005</v>
      </c>
      <c r="AO40" s="299">
        <v>88010.346744580005</v>
      </c>
      <c r="AP40" s="299">
        <v>88010.346744580005</v>
      </c>
      <c r="AQ40" s="299">
        <v>88010.346744580005</v>
      </c>
      <c r="AR40" s="299">
        <v>88010.346744580005</v>
      </c>
      <c r="AS40" s="299">
        <v>88010.346744580005</v>
      </c>
      <c r="AT40" s="299">
        <v>88010.346744580005</v>
      </c>
      <c r="AU40" s="299">
        <v>88010.346744580005</v>
      </c>
      <c r="AV40" s="299">
        <v>97691.484886483813</v>
      </c>
      <c r="AW40" s="299">
        <v>97691.484886483813</v>
      </c>
      <c r="AX40" s="299">
        <v>97691.484886483813</v>
      </c>
      <c r="AY40" s="299">
        <v>97691.484886483813</v>
      </c>
    </row>
    <row r="41" spans="3:51">
      <c r="C41" s="287">
        <v>346657</v>
      </c>
      <c r="D41" t="s">
        <v>344</v>
      </c>
      <c r="E41" t="s">
        <v>345</v>
      </c>
      <c r="F41">
        <v>319</v>
      </c>
      <c r="G41" t="s">
        <v>381</v>
      </c>
      <c r="H41" s="288">
        <v>14814184000138</v>
      </c>
      <c r="I41" t="s">
        <v>396</v>
      </c>
      <c r="J41" t="s">
        <v>397</v>
      </c>
      <c r="K41" s="289">
        <v>23680</v>
      </c>
      <c r="L41" s="290">
        <v>44348</v>
      </c>
      <c r="M41" s="290">
        <v>44713</v>
      </c>
      <c r="N41">
        <v>365</v>
      </c>
      <c r="O41" s="291" t="s">
        <v>334</v>
      </c>
      <c r="P41" t="s">
        <v>349</v>
      </c>
      <c r="Q41" s="292">
        <v>11340</v>
      </c>
      <c r="R41" s="292">
        <v>5670</v>
      </c>
      <c r="S41" s="277">
        <v>1973</v>
      </c>
      <c r="T41" s="277">
        <v>1973</v>
      </c>
      <c r="U41" s="277">
        <v>1973</v>
      </c>
      <c r="V41" s="299">
        <v>1973</v>
      </c>
      <c r="W41" s="299">
        <v>1973</v>
      </c>
      <c r="X41" s="299">
        <v>1973</v>
      </c>
      <c r="Y41" s="299">
        <v>1973</v>
      </c>
      <c r="Z41" s="299">
        <v>1973</v>
      </c>
      <c r="AA41" s="299">
        <v>1973</v>
      </c>
      <c r="AB41" s="299">
        <v>1973</v>
      </c>
      <c r="AC41" s="299">
        <v>1973</v>
      </c>
      <c r="AD41" s="299">
        <v>1973</v>
      </c>
      <c r="AE41" s="299">
        <v>1973</v>
      </c>
      <c r="AF41" s="299">
        <v>1973</v>
      </c>
      <c r="AG41" s="300">
        <v>2190.0300000000002</v>
      </c>
      <c r="AH41" s="300">
        <v>2190.0300000000002</v>
      </c>
      <c r="AI41" s="300">
        <v>2190.0300000000002</v>
      </c>
      <c r="AJ41" s="300">
        <v>2190.0300000000002</v>
      </c>
      <c r="AK41" s="300">
        <v>2190.0300000000002</v>
      </c>
      <c r="AL41" s="300">
        <v>2190.0300000000002</v>
      </c>
      <c r="AM41" s="300">
        <v>2190.0300000000002</v>
      </c>
      <c r="AN41" s="300">
        <v>2190.0300000000002</v>
      </c>
      <c r="AO41" s="300">
        <v>2190.0300000000002</v>
      </c>
      <c r="AP41" s="300">
        <v>2190.0300000000002</v>
      </c>
      <c r="AQ41" s="300">
        <v>2190.0300000000002</v>
      </c>
      <c r="AR41" s="300">
        <v>2190.0300000000002</v>
      </c>
      <c r="AS41" s="299">
        <v>2430.9333000000006</v>
      </c>
      <c r="AT41" s="299">
        <v>2430.9333000000006</v>
      </c>
      <c r="AU41" s="299">
        <v>2430.9333000000006</v>
      </c>
      <c r="AV41" s="299">
        <v>2430.9333000000006</v>
      </c>
      <c r="AW41" s="299">
        <v>2430.9333000000006</v>
      </c>
      <c r="AX41" s="299">
        <v>2430.9333000000006</v>
      </c>
      <c r="AY41" s="299">
        <v>2430.9333000000006</v>
      </c>
    </row>
    <row r="42" spans="3:51">
      <c r="C42" s="287">
        <v>348217</v>
      </c>
      <c r="D42" t="s">
        <v>344</v>
      </c>
      <c r="E42" t="s">
        <v>353</v>
      </c>
      <c r="F42">
        <v>319</v>
      </c>
      <c r="G42" t="s">
        <v>398</v>
      </c>
      <c r="H42" s="288">
        <v>10516463000164</v>
      </c>
      <c r="I42" t="s">
        <v>399</v>
      </c>
      <c r="J42" t="s">
        <v>400</v>
      </c>
      <c r="K42" s="289">
        <v>32909.040000000001</v>
      </c>
      <c r="L42" s="290">
        <v>44317</v>
      </c>
      <c r="M42" s="290">
        <v>44681</v>
      </c>
      <c r="N42">
        <v>364</v>
      </c>
      <c r="O42" s="291" t="s">
        <v>334</v>
      </c>
      <c r="P42" t="s">
        <v>349</v>
      </c>
      <c r="Q42" s="292">
        <v>20800</v>
      </c>
      <c r="R42" s="292">
        <v>8654.52</v>
      </c>
      <c r="S42" s="277">
        <v>2600</v>
      </c>
      <c r="T42" s="301">
        <v>2860</v>
      </c>
      <c r="U42" s="301">
        <v>2860</v>
      </c>
      <c r="V42" s="301">
        <v>2860</v>
      </c>
      <c r="W42" s="301">
        <v>2860</v>
      </c>
      <c r="X42" s="301">
        <v>2860</v>
      </c>
      <c r="Y42" s="301">
        <v>2860</v>
      </c>
      <c r="Z42" s="301">
        <v>2860</v>
      </c>
      <c r="AA42" s="301">
        <v>2860</v>
      </c>
      <c r="AB42" s="301">
        <v>2860</v>
      </c>
      <c r="AC42" s="301">
        <v>2860</v>
      </c>
      <c r="AD42" s="301">
        <v>2860</v>
      </c>
      <c r="AE42" s="301">
        <v>2860</v>
      </c>
      <c r="AF42" s="301">
        <v>3174.6000000000004</v>
      </c>
      <c r="AG42" s="307">
        <v>3174.6000000000004</v>
      </c>
      <c r="AH42" s="307">
        <v>3174.6000000000004</v>
      </c>
      <c r="AI42" s="307">
        <v>3174.6000000000004</v>
      </c>
      <c r="AJ42" s="307">
        <v>3174.6000000000004</v>
      </c>
      <c r="AK42" s="307">
        <v>3174.6000000000004</v>
      </c>
      <c r="AL42" s="307">
        <v>3174.6000000000004</v>
      </c>
      <c r="AM42" s="307">
        <v>3174.6000000000004</v>
      </c>
      <c r="AN42" s="307">
        <v>3174.6000000000004</v>
      </c>
      <c r="AO42" s="307">
        <v>3174.6000000000004</v>
      </c>
      <c r="AP42" s="307">
        <v>3174.6000000000004</v>
      </c>
      <c r="AQ42" s="307">
        <v>3174.6000000000004</v>
      </c>
      <c r="AR42" s="299">
        <v>3523.8060000000005</v>
      </c>
      <c r="AS42" s="299">
        <v>3523.8060000000005</v>
      </c>
      <c r="AT42" s="299">
        <v>3523.8060000000005</v>
      </c>
      <c r="AU42" s="299">
        <v>3523.8060000000005</v>
      </c>
      <c r="AV42" s="299">
        <v>3523.8060000000005</v>
      </c>
      <c r="AW42" s="299">
        <v>3523.8060000000005</v>
      </c>
      <c r="AX42" s="299">
        <v>3523.8060000000005</v>
      </c>
      <c r="AY42" s="299">
        <v>3523.8060000000005</v>
      </c>
    </row>
    <row r="43" spans="3:51">
      <c r="C43" s="287">
        <v>351955</v>
      </c>
      <c r="D43" t="s">
        <v>344</v>
      </c>
      <c r="E43" t="s">
        <v>353</v>
      </c>
      <c r="F43">
        <v>319</v>
      </c>
      <c r="G43" t="s">
        <v>398</v>
      </c>
      <c r="H43" s="288">
        <v>79714838991</v>
      </c>
      <c r="I43" t="s">
        <v>401</v>
      </c>
      <c r="J43" t="s">
        <v>402</v>
      </c>
      <c r="K43" s="289">
        <v>33818.97</v>
      </c>
      <c r="L43" s="290">
        <v>44378</v>
      </c>
      <c r="M43" s="290">
        <v>44742</v>
      </c>
      <c r="N43">
        <v>364</v>
      </c>
      <c r="O43" s="291" t="s">
        <v>334</v>
      </c>
      <c r="P43" t="s">
        <v>349</v>
      </c>
      <c r="Q43" s="292">
        <v>15600</v>
      </c>
      <c r="R43" s="292">
        <v>9764.16</v>
      </c>
      <c r="S43" s="277">
        <v>2818.25</v>
      </c>
      <c r="T43" s="277">
        <v>2818.25</v>
      </c>
      <c r="U43" s="277">
        <v>2818.25</v>
      </c>
      <c r="V43" s="299">
        <v>2818.25</v>
      </c>
      <c r="W43" s="301">
        <v>3128.2575000000002</v>
      </c>
      <c r="X43" s="299">
        <v>3128.2575000000002</v>
      </c>
      <c r="Y43" s="299">
        <v>3128.2575000000002</v>
      </c>
      <c r="Z43" s="299">
        <v>3128.2575000000002</v>
      </c>
      <c r="AA43" s="299">
        <v>3128.2575000000002</v>
      </c>
      <c r="AB43" s="299">
        <v>3128.2575000000002</v>
      </c>
      <c r="AC43" s="299">
        <v>3128.2575000000002</v>
      </c>
      <c r="AD43" s="299">
        <v>3128.2575000000002</v>
      </c>
      <c r="AE43" s="299">
        <v>3128.2575000000002</v>
      </c>
      <c r="AF43" s="299">
        <v>3128.2575000000002</v>
      </c>
      <c r="AG43" s="299">
        <v>3128.2575000000002</v>
      </c>
      <c r="AH43" s="299">
        <v>3128.2575000000002</v>
      </c>
      <c r="AI43" s="307">
        <v>3472.3658250000003</v>
      </c>
      <c r="AJ43" s="307">
        <v>3472.3658250000003</v>
      </c>
      <c r="AK43" s="307">
        <v>3472.3658250000003</v>
      </c>
      <c r="AL43" s="307">
        <v>3472.3658250000003</v>
      </c>
      <c r="AM43" s="307">
        <v>3472.3658250000003</v>
      </c>
      <c r="AN43" s="307">
        <v>3472.3658250000003</v>
      </c>
      <c r="AO43" s="307">
        <v>3472.3658250000003</v>
      </c>
      <c r="AP43" s="307">
        <v>3472.3658250000003</v>
      </c>
      <c r="AQ43" s="307">
        <v>3472.3658250000003</v>
      </c>
      <c r="AR43" s="307">
        <v>3472.3658250000003</v>
      </c>
      <c r="AS43" s="307">
        <v>3472.3658250000003</v>
      </c>
      <c r="AT43" s="307">
        <v>3472.3658250000003</v>
      </c>
      <c r="AU43" s="299">
        <v>3854.3260657500009</v>
      </c>
      <c r="AV43" s="299">
        <v>3854.3260657500009</v>
      </c>
      <c r="AW43" s="299">
        <v>3854.3260657500009</v>
      </c>
      <c r="AX43" s="299">
        <v>3854.3260657500009</v>
      </c>
      <c r="AY43" s="299">
        <v>3854.3260657500009</v>
      </c>
    </row>
    <row r="44" spans="3:51">
      <c r="C44" s="287">
        <v>347042</v>
      </c>
      <c r="D44" t="s">
        <v>344</v>
      </c>
      <c r="E44" t="s">
        <v>345</v>
      </c>
      <c r="F44">
        <v>319</v>
      </c>
      <c r="G44" t="s">
        <v>398</v>
      </c>
      <c r="H44" s="288">
        <v>1025954963</v>
      </c>
      <c r="I44" t="s">
        <v>403</v>
      </c>
      <c r="J44" t="s">
        <v>404</v>
      </c>
      <c r="K44" s="289">
        <v>155230.79999999999</v>
      </c>
      <c r="L44" s="290">
        <v>44270</v>
      </c>
      <c r="M44" s="290">
        <v>44999</v>
      </c>
      <c r="N44">
        <v>729</v>
      </c>
      <c r="O44" s="291" t="s">
        <v>334</v>
      </c>
      <c r="P44" t="s">
        <v>349</v>
      </c>
      <c r="Q44" s="292">
        <v>61830.439999999988</v>
      </c>
      <c r="R44" s="292">
        <v>19469.71</v>
      </c>
      <c r="S44" s="277">
        <v>6409.2</v>
      </c>
      <c r="T44" s="277">
        <v>6409.2</v>
      </c>
      <c r="U44" s="277">
        <v>6409.2</v>
      </c>
      <c r="V44" s="303">
        <v>7114.2120000000004</v>
      </c>
      <c r="W44" s="298">
        <v>7114.2120000000004</v>
      </c>
      <c r="X44" s="298">
        <v>7114.2120000000004</v>
      </c>
      <c r="Y44" s="298">
        <v>7114.2120000000004</v>
      </c>
      <c r="Z44" s="298">
        <v>7114.2120000000004</v>
      </c>
      <c r="AA44" s="298">
        <v>7114.2120000000004</v>
      </c>
      <c r="AB44" s="298">
        <v>7114.2120000000004</v>
      </c>
      <c r="AC44" s="298">
        <v>7114.2120000000004</v>
      </c>
      <c r="AD44" s="298">
        <v>7114.2120000000004</v>
      </c>
      <c r="AE44" s="301">
        <v>7114.2120000000004</v>
      </c>
      <c r="AF44" s="301">
        <v>7114.2120000000004</v>
      </c>
      <c r="AG44" s="301">
        <v>7114.2120000000004</v>
      </c>
      <c r="AH44" s="301">
        <v>7896.7753200000016</v>
      </c>
      <c r="AI44" s="299">
        <v>7896.7753200000016</v>
      </c>
      <c r="AJ44" s="299">
        <v>7896.7753200000016</v>
      </c>
      <c r="AK44" s="299">
        <v>7896.7753200000016</v>
      </c>
      <c r="AL44" s="299">
        <v>7896.7753200000016</v>
      </c>
      <c r="AM44" s="299">
        <v>7896.7753200000016</v>
      </c>
      <c r="AN44" s="299">
        <v>7896.7753200000016</v>
      </c>
      <c r="AO44" s="299">
        <v>7896.7753200000016</v>
      </c>
      <c r="AP44" s="299">
        <v>7896.7753200000016</v>
      </c>
      <c r="AQ44" s="299">
        <v>7896.7753200000016</v>
      </c>
      <c r="AR44" s="299">
        <v>7896.7753200000016</v>
      </c>
      <c r="AS44" s="299">
        <v>7896.7753200000016</v>
      </c>
      <c r="AT44" s="299">
        <v>8765.4206052000027</v>
      </c>
      <c r="AU44" s="299">
        <v>8765.4206052000027</v>
      </c>
      <c r="AV44" s="299">
        <v>8765.4206052000027</v>
      </c>
      <c r="AW44" s="299">
        <v>8765.4206052000027</v>
      </c>
      <c r="AX44" s="299">
        <v>8765.4206052000027</v>
      </c>
      <c r="AY44" s="299">
        <v>8765.4206052000027</v>
      </c>
    </row>
    <row r="45" spans="3:51">
      <c r="C45" s="287" t="s">
        <v>405</v>
      </c>
      <c r="D45" t="s">
        <v>406</v>
      </c>
      <c r="E45" t="s">
        <v>359</v>
      </c>
      <c r="F45">
        <v>319</v>
      </c>
      <c r="G45" t="s">
        <v>407</v>
      </c>
      <c r="H45" s="288">
        <v>15058387972</v>
      </c>
      <c r="I45" t="s">
        <v>408</v>
      </c>
      <c r="J45" t="s">
        <v>409</v>
      </c>
      <c r="K45" s="289">
        <v>42000</v>
      </c>
      <c r="L45" s="290">
        <v>43252</v>
      </c>
      <c r="M45" s="290">
        <v>45078</v>
      </c>
      <c r="N45">
        <v>1826</v>
      </c>
      <c r="O45" s="291" t="s">
        <v>334</v>
      </c>
      <c r="P45" t="s">
        <v>349</v>
      </c>
      <c r="Q45" s="292">
        <v>8400</v>
      </c>
      <c r="R45" s="292">
        <v>2800</v>
      </c>
      <c r="S45" s="277">
        <v>700</v>
      </c>
      <c r="T45" s="277">
        <v>700</v>
      </c>
      <c r="U45" s="303">
        <v>777.00000000000011</v>
      </c>
      <c r="V45" s="303">
        <v>777.00000000000011</v>
      </c>
      <c r="W45" s="303">
        <v>777.00000000000011</v>
      </c>
      <c r="X45" s="303">
        <v>777.00000000000011</v>
      </c>
      <c r="Y45" s="303">
        <v>777.00000000000011</v>
      </c>
      <c r="Z45" s="303">
        <v>777.00000000000011</v>
      </c>
      <c r="AA45" s="303">
        <v>777.00000000000011</v>
      </c>
      <c r="AB45" s="303">
        <v>777.00000000000011</v>
      </c>
      <c r="AC45" s="303">
        <v>777.00000000000011</v>
      </c>
      <c r="AD45" s="303">
        <v>777.00000000000011</v>
      </c>
      <c r="AE45" s="303">
        <v>777.00000000000011</v>
      </c>
      <c r="AF45" s="303">
        <v>777.00000000000011</v>
      </c>
      <c r="AG45">
        <v>862.47000000000025</v>
      </c>
      <c r="AH45" s="300">
        <v>862.47000000000025</v>
      </c>
      <c r="AI45" s="300">
        <v>862.47000000000025</v>
      </c>
      <c r="AJ45" s="300">
        <v>862.47000000000025</v>
      </c>
      <c r="AK45" s="300">
        <v>862.47000000000025</v>
      </c>
      <c r="AL45" s="300">
        <v>862.47000000000025</v>
      </c>
      <c r="AM45" s="300">
        <v>862.47000000000025</v>
      </c>
      <c r="AN45" s="300">
        <v>862.47000000000025</v>
      </c>
      <c r="AO45" s="300">
        <v>862.47000000000025</v>
      </c>
      <c r="AP45" s="300">
        <v>862.47000000000025</v>
      </c>
      <c r="AQ45" s="300">
        <v>862.47000000000025</v>
      </c>
      <c r="AR45" s="300">
        <v>862.47000000000025</v>
      </c>
      <c r="AS45" s="299">
        <v>957.3417000000004</v>
      </c>
      <c r="AT45" s="299">
        <v>957.3417000000004</v>
      </c>
      <c r="AU45" s="299">
        <v>957.3417000000004</v>
      </c>
      <c r="AV45" s="299">
        <v>957.3417000000004</v>
      </c>
      <c r="AW45" s="299">
        <v>957.3417000000004</v>
      </c>
      <c r="AX45" s="299">
        <v>957.3417000000004</v>
      </c>
      <c r="AY45" s="299">
        <v>957.3417000000004</v>
      </c>
    </row>
    <row r="46" spans="3:51">
      <c r="C46" s="287">
        <v>332154</v>
      </c>
      <c r="D46" t="s">
        <v>344</v>
      </c>
      <c r="E46" t="s">
        <v>359</v>
      </c>
      <c r="F46">
        <v>319</v>
      </c>
      <c r="G46" t="s">
        <v>410</v>
      </c>
      <c r="H46" s="288">
        <v>62303015987</v>
      </c>
      <c r="I46" t="s">
        <v>411</v>
      </c>
      <c r="J46" t="s">
        <v>412</v>
      </c>
      <c r="K46" s="289">
        <v>36000</v>
      </c>
      <c r="L46" s="290">
        <v>43934</v>
      </c>
      <c r="M46" s="290">
        <v>45029</v>
      </c>
      <c r="N46">
        <v>1095</v>
      </c>
      <c r="O46" s="291" t="s">
        <v>334</v>
      </c>
      <c r="P46" t="s">
        <v>349</v>
      </c>
      <c r="Q46" s="292">
        <v>13000</v>
      </c>
      <c r="R46" s="292">
        <v>3000</v>
      </c>
      <c r="S46" s="292">
        <v>1000</v>
      </c>
      <c r="T46" s="292">
        <v>1147.7</v>
      </c>
      <c r="U46" s="292">
        <v>1147.7</v>
      </c>
      <c r="V46" s="292">
        <v>1147.7</v>
      </c>
      <c r="W46" s="292">
        <v>1147.7</v>
      </c>
      <c r="X46" s="292">
        <v>1147.7</v>
      </c>
      <c r="Y46" s="292">
        <v>1147.7</v>
      </c>
      <c r="Z46" s="292">
        <v>1147.7</v>
      </c>
      <c r="AA46" s="292">
        <v>1147.7</v>
      </c>
      <c r="AB46" s="292">
        <v>1147.7</v>
      </c>
      <c r="AC46" s="292">
        <v>1147.7</v>
      </c>
      <c r="AD46" s="292">
        <v>1147.7</v>
      </c>
      <c r="AE46" s="292">
        <v>1147.7</v>
      </c>
      <c r="AF46" s="308">
        <v>1273.9470000000001</v>
      </c>
      <c r="AG46" s="308">
        <v>1273.9470000000001</v>
      </c>
      <c r="AH46" s="308">
        <v>1273.9470000000001</v>
      </c>
      <c r="AI46" s="308">
        <v>1273.9470000000001</v>
      </c>
      <c r="AJ46" s="308">
        <v>1273.9470000000001</v>
      </c>
      <c r="AK46" s="308">
        <v>1273.9470000000001</v>
      </c>
      <c r="AL46" s="308">
        <v>1273.9470000000001</v>
      </c>
      <c r="AM46" s="308">
        <v>1273.9470000000001</v>
      </c>
      <c r="AN46" s="308">
        <v>1273.9470000000001</v>
      </c>
      <c r="AO46" s="308">
        <v>1273.9470000000001</v>
      </c>
      <c r="AP46" s="308">
        <v>1273.9470000000001</v>
      </c>
      <c r="AQ46" s="308">
        <v>1273.9470000000001</v>
      </c>
      <c r="AR46" s="308">
        <v>1414.0811700000002</v>
      </c>
      <c r="AS46" s="309">
        <v>1414.0811700000002</v>
      </c>
      <c r="AT46" s="309">
        <v>1414.0811700000002</v>
      </c>
      <c r="AU46" s="309">
        <v>1414.0811700000002</v>
      </c>
      <c r="AV46" s="309">
        <v>1414.0811700000002</v>
      </c>
      <c r="AW46" s="309">
        <v>1414.0811700000002</v>
      </c>
      <c r="AX46" s="309">
        <v>1414.0811700000002</v>
      </c>
      <c r="AY46" s="309">
        <v>1414.0811700000002</v>
      </c>
    </row>
    <row r="47" spans="3:51">
      <c r="C47" s="287" t="s">
        <v>413</v>
      </c>
      <c r="D47" t="s">
        <v>344</v>
      </c>
      <c r="E47" t="s">
        <v>359</v>
      </c>
      <c r="F47">
        <v>312</v>
      </c>
      <c r="G47" t="s">
        <v>311</v>
      </c>
      <c r="H47" s="288">
        <v>6134559000190</v>
      </c>
      <c r="I47" t="s">
        <v>414</v>
      </c>
      <c r="J47" t="s">
        <v>415</v>
      </c>
      <c r="K47" s="289">
        <v>11640</v>
      </c>
      <c r="L47" s="290">
        <v>44329</v>
      </c>
      <c r="M47" s="290">
        <v>45059</v>
      </c>
      <c r="N47">
        <v>730</v>
      </c>
      <c r="O47" s="291" t="s">
        <v>334</v>
      </c>
      <c r="P47" t="s">
        <v>349</v>
      </c>
      <c r="Q47" s="292">
        <v>3395</v>
      </c>
      <c r="R47" s="292">
        <v>485</v>
      </c>
      <c r="S47" s="310">
        <v>485</v>
      </c>
      <c r="T47" s="310">
        <v>485</v>
      </c>
      <c r="U47" s="310">
        <v>485</v>
      </c>
      <c r="V47" s="310">
        <v>485</v>
      </c>
      <c r="W47" s="310">
        <v>485</v>
      </c>
      <c r="X47" s="310">
        <v>485</v>
      </c>
      <c r="Y47" s="310">
        <v>485</v>
      </c>
      <c r="Z47" s="310">
        <v>485</v>
      </c>
      <c r="AA47" s="310">
        <v>485</v>
      </c>
      <c r="AB47" s="310">
        <v>485</v>
      </c>
      <c r="AC47" s="310">
        <v>485</v>
      </c>
      <c r="AD47" s="310">
        <v>485</v>
      </c>
      <c r="AE47" s="310">
        <v>485</v>
      </c>
      <c r="AF47" s="310">
        <v>485</v>
      </c>
      <c r="AG47" s="309">
        <v>0</v>
      </c>
      <c r="AH47" s="309">
        <v>0</v>
      </c>
      <c r="AI47" s="309">
        <v>0</v>
      </c>
      <c r="AJ47" s="309">
        <v>0</v>
      </c>
      <c r="AK47" s="309">
        <v>0</v>
      </c>
      <c r="AL47" s="309">
        <v>0</v>
      </c>
      <c r="AM47" s="309">
        <v>0</v>
      </c>
      <c r="AN47" s="309">
        <v>0</v>
      </c>
      <c r="AO47" s="309">
        <v>0</v>
      </c>
      <c r="AP47" s="309">
        <v>0</v>
      </c>
      <c r="AQ47" s="309">
        <v>0</v>
      </c>
      <c r="AR47" s="309">
        <v>0</v>
      </c>
      <c r="AS47" s="309">
        <v>0</v>
      </c>
      <c r="AT47" s="309">
        <v>0</v>
      </c>
      <c r="AU47" s="309">
        <v>0</v>
      </c>
      <c r="AV47" s="309">
        <v>0</v>
      </c>
      <c r="AW47" s="309">
        <v>0</v>
      </c>
      <c r="AX47" s="309">
        <v>0</v>
      </c>
      <c r="AY47" s="309">
        <v>0</v>
      </c>
    </row>
    <row r="48" spans="3:51">
      <c r="C48" s="287" t="s">
        <v>416</v>
      </c>
      <c r="D48" t="s">
        <v>344</v>
      </c>
      <c r="F48">
        <v>319</v>
      </c>
      <c r="G48" t="s">
        <v>417</v>
      </c>
      <c r="H48" s="288">
        <v>48860476968</v>
      </c>
      <c r="I48" t="s">
        <v>418</v>
      </c>
      <c r="J48" t="s">
        <v>419</v>
      </c>
      <c r="K48" s="289">
        <v>39451.160000000003</v>
      </c>
      <c r="L48" s="290">
        <v>44621</v>
      </c>
      <c r="M48" s="290">
        <v>44985</v>
      </c>
      <c r="N48">
        <v>365</v>
      </c>
      <c r="O48" s="291" t="s">
        <v>334</v>
      </c>
      <c r="P48" t="s">
        <v>349</v>
      </c>
      <c r="Q48" s="292">
        <v>0</v>
      </c>
      <c r="R48" s="292">
        <v>0</v>
      </c>
      <c r="S48" s="310">
        <v>3287.6</v>
      </c>
      <c r="T48" s="310">
        <v>3287.6</v>
      </c>
      <c r="U48" s="310">
        <v>3287.6</v>
      </c>
      <c r="V48" s="310">
        <v>3287.6</v>
      </c>
      <c r="W48" s="310">
        <v>3287.6</v>
      </c>
      <c r="X48" s="310">
        <v>3287.6</v>
      </c>
      <c r="Y48" s="310">
        <v>3287.6</v>
      </c>
      <c r="Z48" s="310">
        <v>3287.6</v>
      </c>
      <c r="AA48" s="310">
        <v>3287.6</v>
      </c>
      <c r="AB48" s="310">
        <v>3287.6</v>
      </c>
      <c r="AC48" s="310">
        <v>3287.6</v>
      </c>
      <c r="AD48" s="309">
        <v>3649.2360000000003</v>
      </c>
      <c r="AE48" s="309">
        <v>3649.2360000000003</v>
      </c>
      <c r="AF48" s="309">
        <v>3649.2360000000003</v>
      </c>
      <c r="AG48" s="309">
        <v>3649.2360000000003</v>
      </c>
      <c r="AH48" s="309">
        <v>3649.2360000000003</v>
      </c>
      <c r="AI48" s="309">
        <v>3649.2360000000003</v>
      </c>
      <c r="AJ48" s="309">
        <v>3649.2360000000003</v>
      </c>
      <c r="AK48" s="309">
        <v>3649.2360000000003</v>
      </c>
      <c r="AL48" s="309">
        <v>3649.2360000000003</v>
      </c>
      <c r="AM48" s="309">
        <v>3649.2360000000003</v>
      </c>
      <c r="AN48" s="309">
        <v>3649.2360000000003</v>
      </c>
      <c r="AO48" s="309">
        <v>3649.2360000000003</v>
      </c>
      <c r="AP48" s="309">
        <v>4050.6519600000006</v>
      </c>
      <c r="AQ48" s="311">
        <v>4050.6519600000006</v>
      </c>
      <c r="AR48" s="311">
        <v>4050.6519600000006</v>
      </c>
      <c r="AS48" s="311">
        <v>4050.6519600000006</v>
      </c>
      <c r="AT48" s="311">
        <v>4050.6519600000006</v>
      </c>
      <c r="AU48" s="311">
        <v>4050.6519600000006</v>
      </c>
      <c r="AV48" s="311">
        <v>4050.6519600000006</v>
      </c>
      <c r="AW48" s="311">
        <v>4050.6519600000006</v>
      </c>
      <c r="AX48" s="311">
        <v>4050.6519600000006</v>
      </c>
      <c r="AY48" s="311">
        <v>4050.6519600000006</v>
      </c>
    </row>
    <row r="49" spans="3:52">
      <c r="C49" s="287"/>
      <c r="D49" t="s">
        <v>344</v>
      </c>
      <c r="F49">
        <v>319</v>
      </c>
      <c r="G49" t="s">
        <v>420</v>
      </c>
      <c r="H49" s="288">
        <v>18956254915</v>
      </c>
      <c r="I49" t="s">
        <v>421</v>
      </c>
      <c r="J49" t="s">
        <v>422</v>
      </c>
      <c r="K49" s="289">
        <v>11616</v>
      </c>
      <c r="L49" s="290">
        <v>44652</v>
      </c>
      <c r="M49" s="290">
        <v>45016</v>
      </c>
      <c r="N49">
        <v>365</v>
      </c>
      <c r="O49" s="291" t="s">
        <v>334</v>
      </c>
      <c r="P49" t="s">
        <v>349</v>
      </c>
      <c r="Q49" s="292">
        <v>0</v>
      </c>
      <c r="R49" s="292">
        <v>0</v>
      </c>
      <c r="S49" s="310">
        <v>968</v>
      </c>
      <c r="T49" s="310">
        <v>968</v>
      </c>
      <c r="U49" s="310">
        <v>968</v>
      </c>
      <c r="V49" s="310">
        <v>968</v>
      </c>
      <c r="W49" s="310">
        <v>968</v>
      </c>
      <c r="X49" s="310">
        <v>968</v>
      </c>
      <c r="Y49" s="310">
        <v>968</v>
      </c>
      <c r="Z49" s="310">
        <v>968</v>
      </c>
      <c r="AA49" s="310">
        <v>968</v>
      </c>
      <c r="AB49" s="310">
        <v>968</v>
      </c>
      <c r="AC49" s="310">
        <v>968</v>
      </c>
      <c r="AD49" s="310">
        <v>968</v>
      </c>
      <c r="AE49" s="309">
        <v>1074.48</v>
      </c>
      <c r="AF49" s="309">
        <v>1074.48</v>
      </c>
      <c r="AG49" s="309">
        <v>1074.48</v>
      </c>
      <c r="AH49" s="309">
        <v>1074.48</v>
      </c>
      <c r="AI49" s="309">
        <v>1074.48</v>
      </c>
      <c r="AJ49" s="309">
        <v>1074.48</v>
      </c>
      <c r="AK49" s="309">
        <v>1074.48</v>
      </c>
      <c r="AL49" s="309">
        <v>1074.48</v>
      </c>
      <c r="AM49" s="309">
        <v>1074.48</v>
      </c>
      <c r="AN49" s="309">
        <v>1074.48</v>
      </c>
      <c r="AO49" s="309">
        <v>1074.48</v>
      </c>
      <c r="AP49" s="309">
        <v>1074.48</v>
      </c>
      <c r="AQ49" s="309">
        <v>1192.6728000000001</v>
      </c>
      <c r="AR49" s="309">
        <v>1192.6728000000001</v>
      </c>
      <c r="AS49" s="309">
        <v>1192.6728000000001</v>
      </c>
      <c r="AT49" s="309">
        <v>1192.6728000000001</v>
      </c>
      <c r="AU49" s="309">
        <v>1192.6728000000001</v>
      </c>
      <c r="AV49" s="309">
        <v>1192.6728000000001</v>
      </c>
      <c r="AW49" s="309">
        <v>1192.6728000000001</v>
      </c>
      <c r="AX49" s="309">
        <v>1192.6728000000001</v>
      </c>
      <c r="AY49" s="309">
        <v>1192.6728000000001</v>
      </c>
    </row>
    <row r="50" spans="3:52">
      <c r="C50" s="312">
        <v>352831</v>
      </c>
      <c r="D50" s="313" t="s">
        <v>344</v>
      </c>
      <c r="E50" s="313" t="s">
        <v>345</v>
      </c>
      <c r="F50" s="313">
        <v>312</v>
      </c>
      <c r="G50" s="313" t="s">
        <v>311</v>
      </c>
      <c r="H50" s="314">
        <v>77637684000161</v>
      </c>
      <c r="I50" s="313" t="s">
        <v>423</v>
      </c>
      <c r="J50" s="313" t="s">
        <v>424</v>
      </c>
      <c r="K50" s="315">
        <v>4682564.3899999997</v>
      </c>
      <c r="L50" s="316">
        <v>44461</v>
      </c>
      <c r="M50" s="316">
        <v>45010</v>
      </c>
      <c r="N50" s="313">
        <v>549</v>
      </c>
      <c r="O50" s="317" t="s">
        <v>334</v>
      </c>
      <c r="P50" s="313" t="s">
        <v>349</v>
      </c>
      <c r="Q50" s="310">
        <v>554357.37</v>
      </c>
      <c r="R50" s="310">
        <v>766259.1</v>
      </c>
      <c r="S50" s="310">
        <v>258960</v>
      </c>
      <c r="T50" s="310">
        <v>267592</v>
      </c>
      <c r="U50" s="310">
        <v>258960</v>
      </c>
      <c r="V50" s="310">
        <v>267592</v>
      </c>
      <c r="W50" s="310">
        <v>267592</v>
      </c>
      <c r="X50" s="310">
        <v>258960</v>
      </c>
      <c r="Y50" s="310">
        <v>267592</v>
      </c>
      <c r="Z50" s="310">
        <v>258960</v>
      </c>
      <c r="AA50" s="310">
        <v>267592</v>
      </c>
      <c r="AB50" s="310">
        <v>267592</v>
      </c>
      <c r="AC50" s="310">
        <v>241696</v>
      </c>
      <c r="AD50" s="310">
        <v>267592</v>
      </c>
      <c r="AE50" s="309">
        <v>618137.52</v>
      </c>
      <c r="AF50" s="309">
        <v>618137.52</v>
      </c>
      <c r="AG50" s="309">
        <v>618137.52</v>
      </c>
      <c r="AH50" s="309">
        <v>618137.52</v>
      </c>
      <c r="AI50" s="309">
        <v>618137.52</v>
      </c>
      <c r="AJ50" s="309">
        <v>618137.52</v>
      </c>
      <c r="AK50" s="309">
        <v>618137.52</v>
      </c>
      <c r="AL50" s="309">
        <v>618137.52</v>
      </c>
      <c r="AM50" s="309">
        <v>618137.52</v>
      </c>
      <c r="AN50" s="309">
        <v>618137.52</v>
      </c>
      <c r="AO50" s="309">
        <v>618137.52</v>
      </c>
      <c r="AP50" s="309">
        <v>618137.52</v>
      </c>
      <c r="AQ50" s="309">
        <v>618137.52</v>
      </c>
      <c r="AR50" s="309">
        <v>692314.02240000013</v>
      </c>
      <c r="AS50" s="309">
        <v>692314.02240000013</v>
      </c>
      <c r="AT50" s="309">
        <v>692314.02240000013</v>
      </c>
      <c r="AU50" s="309">
        <v>692314.02240000013</v>
      </c>
      <c r="AV50" s="309">
        <v>692314.02240000013</v>
      </c>
      <c r="AW50" s="309">
        <v>692314.02240000013</v>
      </c>
      <c r="AX50" s="309">
        <v>692314.02240000013</v>
      </c>
      <c r="AY50" s="309">
        <v>692314.02240000013</v>
      </c>
      <c r="AZ50" t="s">
        <v>425</v>
      </c>
    </row>
    <row r="51" spans="3:52">
      <c r="C51" s="312">
        <v>352832</v>
      </c>
      <c r="D51" s="313" t="s">
        <v>344</v>
      </c>
      <c r="E51" s="313" t="s">
        <v>345</v>
      </c>
      <c r="F51" s="313">
        <v>312</v>
      </c>
      <c r="G51" s="313" t="s">
        <v>311</v>
      </c>
      <c r="H51" s="314">
        <v>77637684000161</v>
      </c>
      <c r="I51" s="313" t="s">
        <v>423</v>
      </c>
      <c r="J51" s="313" t="s">
        <v>424</v>
      </c>
      <c r="K51" s="315">
        <v>235068.49</v>
      </c>
      <c r="L51" s="316">
        <v>44461</v>
      </c>
      <c r="M51" s="316">
        <v>45010</v>
      </c>
      <c r="N51" s="313">
        <v>549</v>
      </c>
      <c r="O51" s="317" t="s">
        <v>334</v>
      </c>
      <c r="P51" s="313" t="s">
        <v>349</v>
      </c>
      <c r="Q51" s="310">
        <v>17096</v>
      </c>
      <c r="R51" s="310">
        <v>38466</v>
      </c>
      <c r="S51" s="310">
        <v>59900</v>
      </c>
      <c r="T51" s="310">
        <v>61896.666666666672</v>
      </c>
      <c r="U51" s="310">
        <v>59900</v>
      </c>
      <c r="V51" s="310">
        <v>61896.666666666672</v>
      </c>
      <c r="W51" s="310">
        <v>61896.666666666672</v>
      </c>
      <c r="X51" s="310">
        <v>59900</v>
      </c>
      <c r="Y51" s="310">
        <v>61896.666666666672</v>
      </c>
      <c r="Z51" s="310">
        <v>59900</v>
      </c>
      <c r="AA51" s="310">
        <v>61896.666666666672</v>
      </c>
      <c r="AB51" s="310">
        <v>61896.666666666672</v>
      </c>
      <c r="AC51" s="310">
        <v>55906.666666666672</v>
      </c>
      <c r="AD51" s="310">
        <v>61896.666666666672</v>
      </c>
      <c r="AE51" s="309">
        <v>142981.30000000002</v>
      </c>
      <c r="AF51" s="309">
        <v>142981.30000000002</v>
      </c>
      <c r="AG51" s="309">
        <v>142981.30000000002</v>
      </c>
      <c r="AH51" s="309">
        <v>142981.30000000002</v>
      </c>
      <c r="AI51" s="309">
        <v>142981.30000000002</v>
      </c>
      <c r="AJ51" s="309">
        <v>142981.30000000002</v>
      </c>
      <c r="AK51" s="309">
        <v>142981.30000000002</v>
      </c>
      <c r="AL51" s="309">
        <v>142981.30000000002</v>
      </c>
      <c r="AM51" s="309">
        <v>142981.30000000002</v>
      </c>
      <c r="AN51" s="309">
        <v>142981.30000000002</v>
      </c>
      <c r="AO51" s="309">
        <v>142981.30000000002</v>
      </c>
      <c r="AP51" s="309">
        <v>142981.30000000002</v>
      </c>
      <c r="AQ51" s="309">
        <v>142981.30000000002</v>
      </c>
      <c r="AR51" s="309">
        <v>160139.05600000004</v>
      </c>
      <c r="AS51" s="309">
        <v>160139.05600000004</v>
      </c>
      <c r="AT51" s="309">
        <v>160139.05600000004</v>
      </c>
      <c r="AU51" s="309">
        <v>160139.05600000004</v>
      </c>
      <c r="AV51" s="309">
        <v>160139.05600000004</v>
      </c>
      <c r="AW51" s="309">
        <v>160139.05600000004</v>
      </c>
      <c r="AX51" s="309">
        <v>160139.05600000004</v>
      </c>
      <c r="AY51" s="309">
        <v>160139.05600000004</v>
      </c>
      <c r="AZ51" t="s">
        <v>425</v>
      </c>
    </row>
    <row r="52" spans="3:52">
      <c r="C52" s="312">
        <v>347015</v>
      </c>
      <c r="D52" s="313" t="s">
        <v>344</v>
      </c>
      <c r="E52" s="313" t="s">
        <v>345</v>
      </c>
      <c r="F52" s="313">
        <v>312</v>
      </c>
      <c r="G52" s="313" t="s">
        <v>311</v>
      </c>
      <c r="H52" s="314">
        <v>27595780000116</v>
      </c>
      <c r="I52" s="313" t="s">
        <v>426</v>
      </c>
      <c r="J52" s="313" t="s">
        <v>427</v>
      </c>
      <c r="K52" s="315">
        <v>15790460.4</v>
      </c>
      <c r="L52" s="316">
        <v>44281</v>
      </c>
      <c r="M52" s="316">
        <v>45010</v>
      </c>
      <c r="N52" s="313">
        <v>729</v>
      </c>
      <c r="O52" s="317" t="s">
        <v>334</v>
      </c>
      <c r="P52" s="313" t="s">
        <v>349</v>
      </c>
      <c r="Q52" s="310">
        <v>5039849.47</v>
      </c>
      <c r="R52" s="310">
        <v>1942927.29</v>
      </c>
      <c r="S52" s="310">
        <v>658678.88</v>
      </c>
      <c r="T52" s="310">
        <v>680634.84266666661</v>
      </c>
      <c r="U52" s="310">
        <v>658678.88</v>
      </c>
      <c r="V52" s="310">
        <v>680634.84266666661</v>
      </c>
      <c r="W52" s="310">
        <v>680634.84266666661</v>
      </c>
      <c r="X52" s="310">
        <v>658678.88</v>
      </c>
      <c r="Y52" s="310">
        <v>680634.84266666661</v>
      </c>
      <c r="Z52" s="310">
        <v>658678.88</v>
      </c>
      <c r="AA52" s="310">
        <v>680634.84266666661</v>
      </c>
      <c r="AB52" s="310">
        <v>680634.84266666661</v>
      </c>
      <c r="AC52" s="310">
        <v>614766.95466666669</v>
      </c>
      <c r="AD52" s="310">
        <v>680634.84266666661</v>
      </c>
      <c r="AE52" s="309">
        <v>1572266.4865599999</v>
      </c>
      <c r="AF52" s="309">
        <v>1572266.4865599999</v>
      </c>
      <c r="AG52" s="309">
        <v>1572266.4865599999</v>
      </c>
      <c r="AH52" s="309">
        <v>1572266.4865599999</v>
      </c>
      <c r="AI52" s="309">
        <v>1572266.4865599999</v>
      </c>
      <c r="AJ52" s="309">
        <v>1572266.4865599999</v>
      </c>
      <c r="AK52" s="309">
        <v>1572266.4865599999</v>
      </c>
      <c r="AL52" s="309">
        <v>1572266.4865599999</v>
      </c>
      <c r="AM52" s="309">
        <v>1572266.4865599999</v>
      </c>
      <c r="AN52" s="309">
        <v>1572266.4865599999</v>
      </c>
      <c r="AO52" s="309">
        <v>1572266.4865599999</v>
      </c>
      <c r="AP52" s="309">
        <v>1572266.4865599999</v>
      </c>
      <c r="AQ52" s="309">
        <v>1572266.4865599999</v>
      </c>
      <c r="AR52" s="309">
        <v>1760938.4649471999</v>
      </c>
      <c r="AS52" s="309">
        <v>1760938.4649471999</v>
      </c>
      <c r="AT52" s="309">
        <v>1760938.4649471999</v>
      </c>
      <c r="AU52" s="309">
        <v>1760938.4649471999</v>
      </c>
      <c r="AV52" s="309">
        <v>1760938.4649471999</v>
      </c>
      <c r="AW52" s="309">
        <v>1760938.4649471999</v>
      </c>
      <c r="AX52" s="309">
        <v>1760938.4649471999</v>
      </c>
      <c r="AY52" s="309">
        <v>1760938.4649471999</v>
      </c>
      <c r="AZ52" t="s">
        <v>425</v>
      </c>
    </row>
    <row r="53" spans="3:52">
      <c r="C53" s="312">
        <v>347016</v>
      </c>
      <c r="D53" s="313" t="s">
        <v>344</v>
      </c>
      <c r="E53" s="313" t="s">
        <v>345</v>
      </c>
      <c r="F53" s="313">
        <v>312</v>
      </c>
      <c r="G53" s="313" t="s">
        <v>311</v>
      </c>
      <c r="H53" s="314">
        <v>27595780000116</v>
      </c>
      <c r="I53" s="313" t="s">
        <v>426</v>
      </c>
      <c r="J53" s="313" t="s">
        <v>427</v>
      </c>
      <c r="K53" s="315">
        <v>13484575.199999999</v>
      </c>
      <c r="L53" s="316">
        <v>44281</v>
      </c>
      <c r="M53" s="316">
        <v>45010</v>
      </c>
      <c r="N53" s="313">
        <v>729</v>
      </c>
      <c r="O53" s="317" t="s">
        <v>334</v>
      </c>
      <c r="P53" s="313" t="s">
        <v>349</v>
      </c>
      <c r="Q53" s="310">
        <v>4617080.8</v>
      </c>
      <c r="R53" s="310">
        <v>1660732.2</v>
      </c>
      <c r="S53" s="310">
        <v>571868.97</v>
      </c>
      <c r="T53" s="310">
        <v>590931.26899999997</v>
      </c>
      <c r="U53" s="310">
        <v>571868.97</v>
      </c>
      <c r="V53" s="310">
        <v>590931.26899999997</v>
      </c>
      <c r="W53" s="310">
        <v>590931.26899999997</v>
      </c>
      <c r="X53" s="310">
        <v>571868.97</v>
      </c>
      <c r="Y53" s="310">
        <v>590931.26899999997</v>
      </c>
      <c r="Z53" s="310">
        <v>571868.97</v>
      </c>
      <c r="AA53" s="310">
        <v>590931.26899999997</v>
      </c>
      <c r="AB53" s="310">
        <v>590931.26899999997</v>
      </c>
      <c r="AC53" s="310">
        <v>533744.37199999997</v>
      </c>
      <c r="AD53" s="310">
        <v>590931.26899999997</v>
      </c>
      <c r="AE53" s="309">
        <v>1365051.2313899999</v>
      </c>
      <c r="AF53" s="309">
        <v>1365051.2313899999</v>
      </c>
      <c r="AG53" s="309">
        <v>1365051.2313899999</v>
      </c>
      <c r="AH53" s="309">
        <v>1365051.2313899999</v>
      </c>
      <c r="AI53" s="309">
        <v>1365051.2313899999</v>
      </c>
      <c r="AJ53" s="309">
        <v>1365051.2313899999</v>
      </c>
      <c r="AK53" s="309">
        <v>1365051.2313899999</v>
      </c>
      <c r="AL53" s="309">
        <v>1365051.2313899999</v>
      </c>
      <c r="AM53" s="309">
        <v>1365051.2313899999</v>
      </c>
      <c r="AN53" s="309">
        <v>1365051.2313899999</v>
      </c>
      <c r="AO53" s="309">
        <v>1365051.2313899999</v>
      </c>
      <c r="AP53" s="309">
        <v>1365051.2313899999</v>
      </c>
      <c r="AQ53" s="309">
        <v>1365051.2313899999</v>
      </c>
      <c r="AR53" s="309">
        <v>1528857.3791568</v>
      </c>
      <c r="AS53" s="309">
        <v>1528857.3791568</v>
      </c>
      <c r="AT53" s="309">
        <v>1528857.3791568</v>
      </c>
      <c r="AU53" s="309">
        <v>1528857.3791568</v>
      </c>
      <c r="AV53" s="309">
        <v>1528857.3791568</v>
      </c>
      <c r="AW53" s="309">
        <v>1528857.3791568</v>
      </c>
      <c r="AX53" s="309">
        <v>1528857.3791568</v>
      </c>
      <c r="AY53" s="309">
        <v>1528857.3791568</v>
      </c>
      <c r="AZ53" t="s">
        <v>425</v>
      </c>
    </row>
    <row r="54" spans="3:52">
      <c r="C54" s="312">
        <v>352619</v>
      </c>
      <c r="D54" s="313" t="s">
        <v>344</v>
      </c>
      <c r="E54" s="313" t="s">
        <v>384</v>
      </c>
      <c r="F54" s="313">
        <v>312</v>
      </c>
      <c r="G54" s="313" t="s">
        <v>311</v>
      </c>
      <c r="H54" s="314">
        <v>27595780000116</v>
      </c>
      <c r="I54" s="313" t="s">
        <v>426</v>
      </c>
      <c r="J54" s="313" t="s">
        <v>427</v>
      </c>
      <c r="K54" s="315">
        <v>612720</v>
      </c>
      <c r="L54" s="316">
        <v>44281</v>
      </c>
      <c r="M54" s="316">
        <v>45010</v>
      </c>
      <c r="N54" s="313">
        <v>729</v>
      </c>
      <c r="O54" s="317" t="s">
        <v>334</v>
      </c>
      <c r="P54" s="313" t="s">
        <v>349</v>
      </c>
      <c r="Q54" s="310">
        <v>209836.12</v>
      </c>
      <c r="R54" s="310">
        <v>75496.08</v>
      </c>
      <c r="S54" s="310">
        <v>26018.79</v>
      </c>
      <c r="T54" s="310">
        <v>26886.082999999999</v>
      </c>
      <c r="U54" s="310">
        <v>26018.79</v>
      </c>
      <c r="V54" s="310">
        <v>26886.082999999999</v>
      </c>
      <c r="W54" s="310">
        <v>26886.082999999999</v>
      </c>
      <c r="X54" s="310">
        <v>26018.79</v>
      </c>
      <c r="Y54" s="310">
        <v>26886.082999999999</v>
      </c>
      <c r="Z54" s="310">
        <v>26018.79</v>
      </c>
      <c r="AA54" s="310">
        <v>26886.082999999999</v>
      </c>
      <c r="AB54" s="310">
        <v>26886.082999999999</v>
      </c>
      <c r="AC54" s="310">
        <v>24284.204000000002</v>
      </c>
      <c r="AD54" s="310">
        <v>26886.082999999999</v>
      </c>
      <c r="AE54" s="309">
        <v>62106.851729999995</v>
      </c>
      <c r="AF54" s="309">
        <v>62106.851729999995</v>
      </c>
      <c r="AG54" s="309">
        <v>62106.851729999995</v>
      </c>
      <c r="AH54" s="309">
        <v>62106.851729999995</v>
      </c>
      <c r="AI54" s="309">
        <v>62106.851729999995</v>
      </c>
      <c r="AJ54" s="309">
        <v>62106.851729999995</v>
      </c>
      <c r="AK54" s="309">
        <v>62106.851729999995</v>
      </c>
      <c r="AL54" s="309">
        <v>62106.851729999995</v>
      </c>
      <c r="AM54" s="309">
        <v>62106.851729999995</v>
      </c>
      <c r="AN54" s="309">
        <v>62106.851729999995</v>
      </c>
      <c r="AO54" s="309">
        <v>62106.851729999995</v>
      </c>
      <c r="AP54" s="309">
        <v>62106.851729999995</v>
      </c>
      <c r="AQ54" s="309">
        <v>62106.851729999995</v>
      </c>
      <c r="AR54" s="309">
        <v>69559.673937600004</v>
      </c>
      <c r="AS54" s="309">
        <v>69559.673937600004</v>
      </c>
      <c r="AT54" s="309">
        <v>69559.673937600004</v>
      </c>
      <c r="AU54" s="309">
        <v>69559.673937600004</v>
      </c>
      <c r="AV54" s="309">
        <v>69559.673937600004</v>
      </c>
      <c r="AW54" s="309">
        <v>69559.673937600004</v>
      </c>
      <c r="AX54" s="309">
        <v>69559.673937600004</v>
      </c>
      <c r="AY54" s="309">
        <v>69559.673937600004</v>
      </c>
      <c r="AZ54" t="s">
        <v>425</v>
      </c>
    </row>
    <row r="55" spans="3:52">
      <c r="C55" s="312">
        <v>352620</v>
      </c>
      <c r="D55" s="313" t="s">
        <v>344</v>
      </c>
      <c r="E55" s="313" t="s">
        <v>384</v>
      </c>
      <c r="F55" s="313">
        <v>312</v>
      </c>
      <c r="G55" s="313" t="s">
        <v>311</v>
      </c>
      <c r="H55" s="314">
        <v>27595780000116</v>
      </c>
      <c r="I55" s="313" t="s">
        <v>426</v>
      </c>
      <c r="J55" s="313" t="s">
        <v>427</v>
      </c>
      <c r="K55" s="315">
        <v>523202.4</v>
      </c>
      <c r="L55" s="316">
        <v>44281</v>
      </c>
      <c r="M55" s="316">
        <v>45010</v>
      </c>
      <c r="N55" s="313">
        <v>729</v>
      </c>
      <c r="O55" s="317" t="s">
        <v>334</v>
      </c>
      <c r="P55" s="313" t="s">
        <v>349</v>
      </c>
      <c r="Q55" s="310">
        <v>179179.99</v>
      </c>
      <c r="R55" s="310">
        <v>64503.75</v>
      </c>
      <c r="S55" s="310">
        <v>22079.24</v>
      </c>
      <c r="T55" s="310">
        <v>22815.21466666667</v>
      </c>
      <c r="U55" s="310">
        <v>22079.24</v>
      </c>
      <c r="V55" s="310">
        <v>22815.21466666667</v>
      </c>
      <c r="W55" s="310">
        <v>22815.21466666667</v>
      </c>
      <c r="X55" s="310">
        <v>22079.24</v>
      </c>
      <c r="Y55" s="310">
        <v>22815.21466666667</v>
      </c>
      <c r="Z55" s="310">
        <v>22079.24</v>
      </c>
      <c r="AA55" s="310">
        <v>22815.21466666667</v>
      </c>
      <c r="AB55" s="310">
        <v>22815.21466666667</v>
      </c>
      <c r="AC55" s="310">
        <v>20607.290666666668</v>
      </c>
      <c r="AD55" s="310">
        <v>22815.21466666667</v>
      </c>
      <c r="AE55" s="309">
        <v>52703.145880000011</v>
      </c>
      <c r="AF55" s="309">
        <v>52703.145880000011</v>
      </c>
      <c r="AG55" s="309">
        <v>52703.145880000011</v>
      </c>
      <c r="AH55" s="309">
        <v>52703.145880000011</v>
      </c>
      <c r="AI55" s="309">
        <v>52703.145880000011</v>
      </c>
      <c r="AJ55" s="309">
        <v>52703.145880000011</v>
      </c>
      <c r="AK55" s="309">
        <v>52703.145880000011</v>
      </c>
      <c r="AL55" s="309">
        <v>52703.145880000011</v>
      </c>
      <c r="AM55" s="309">
        <v>52703.145880000011</v>
      </c>
      <c r="AN55" s="309">
        <v>52703.145880000011</v>
      </c>
      <c r="AO55" s="309">
        <v>52703.145880000011</v>
      </c>
      <c r="AP55" s="309">
        <v>52703.145880000011</v>
      </c>
      <c r="AQ55" s="309">
        <v>52703.145880000011</v>
      </c>
      <c r="AR55" s="309">
        <v>59027.52338560002</v>
      </c>
      <c r="AS55" s="309">
        <v>59027.52338560002</v>
      </c>
      <c r="AT55" s="309">
        <v>59027.52338560002</v>
      </c>
      <c r="AU55" s="309">
        <v>59027.52338560002</v>
      </c>
      <c r="AV55" s="309">
        <v>59027.52338560002</v>
      </c>
      <c r="AW55" s="309">
        <v>59027.52338560002</v>
      </c>
      <c r="AX55" s="309">
        <v>59027.52338560002</v>
      </c>
      <c r="AY55" s="309">
        <v>59027.52338560002</v>
      </c>
      <c r="AZ55" t="s">
        <v>425</v>
      </c>
    </row>
    <row r="56" spans="3:52">
      <c r="C56" s="312">
        <v>346176</v>
      </c>
      <c r="D56" s="313" t="s">
        <v>344</v>
      </c>
      <c r="E56" s="313" t="s">
        <v>359</v>
      </c>
      <c r="F56" s="313">
        <v>312</v>
      </c>
      <c r="G56" s="313" t="s">
        <v>311</v>
      </c>
      <c r="H56" s="318">
        <v>27595780000116</v>
      </c>
      <c r="I56" s="313" t="s">
        <v>426</v>
      </c>
      <c r="J56" s="313" t="s">
        <v>427</v>
      </c>
      <c r="K56" s="315">
        <v>2054999.52</v>
      </c>
      <c r="L56" s="316">
        <v>44340</v>
      </c>
      <c r="M56" s="316">
        <v>45435</v>
      </c>
      <c r="N56" s="313">
        <v>1095</v>
      </c>
      <c r="O56" s="317" t="s">
        <v>334</v>
      </c>
      <c r="P56" s="313" t="s">
        <v>349</v>
      </c>
      <c r="Q56" s="310">
        <v>72884.149999999994</v>
      </c>
      <c r="R56" s="310">
        <v>168008.25</v>
      </c>
      <c r="S56" s="310">
        <v>58178.01</v>
      </c>
      <c r="T56" s="310">
        <v>60117.277000000002</v>
      </c>
      <c r="U56" s="310">
        <v>58178.01</v>
      </c>
      <c r="V56" s="310">
        <v>60117.277000000002</v>
      </c>
      <c r="W56" s="310">
        <v>60117.277000000002</v>
      </c>
      <c r="X56" s="310">
        <v>58178.01</v>
      </c>
      <c r="Y56" s="310">
        <v>60117.277000000002</v>
      </c>
      <c r="Z56" s="310">
        <v>58178.01</v>
      </c>
      <c r="AA56" s="310">
        <v>60117.277000000002</v>
      </c>
      <c r="AB56" s="310">
        <v>60117.277000000002</v>
      </c>
      <c r="AC56" s="310">
        <v>54299.476000000002</v>
      </c>
      <c r="AD56" s="310">
        <v>60117.277000000002</v>
      </c>
      <c r="AE56" s="310">
        <v>58178.01</v>
      </c>
      <c r="AF56" s="310">
        <v>60117.277000000002</v>
      </c>
      <c r="AG56" s="310">
        <v>58178.01</v>
      </c>
      <c r="AH56" s="310">
        <v>60117.277000000002</v>
      </c>
      <c r="AI56" s="310">
        <v>60117.277000000002</v>
      </c>
      <c r="AJ56" s="310">
        <v>58178.01</v>
      </c>
      <c r="AK56" s="310">
        <v>60117.277000000002</v>
      </c>
      <c r="AL56" s="310">
        <v>58178.01</v>
      </c>
      <c r="AM56" s="310">
        <v>60117.277000000002</v>
      </c>
      <c r="AN56" s="310">
        <v>60117.277000000002</v>
      </c>
      <c r="AO56" s="310">
        <v>56238.743000000002</v>
      </c>
      <c r="AP56" s="310">
        <v>60117.277000000002</v>
      </c>
      <c r="AQ56" s="310">
        <v>58178.01</v>
      </c>
      <c r="AR56" s="310">
        <v>60117.277000000002</v>
      </c>
      <c r="AS56" s="309">
        <v>58178.01</v>
      </c>
      <c r="AT56" s="309">
        <v>60117.277000000002</v>
      </c>
      <c r="AU56" s="309">
        <v>60117.277000000002</v>
      </c>
      <c r="AV56" s="309">
        <v>58178.01</v>
      </c>
      <c r="AW56" s="309">
        <v>60117.277000000002</v>
      </c>
      <c r="AX56" s="309">
        <v>58178.01</v>
      </c>
      <c r="AY56" s="309">
        <v>60117.277000000002</v>
      </c>
    </row>
    <row r="57" spans="3:52">
      <c r="C57" s="312">
        <v>362539</v>
      </c>
      <c r="D57" s="313" t="s">
        <v>344</v>
      </c>
      <c r="E57" s="313" t="s">
        <v>384</v>
      </c>
      <c r="F57" s="313">
        <v>312</v>
      </c>
      <c r="G57" s="313" t="s">
        <v>311</v>
      </c>
      <c r="H57" s="314">
        <v>27595780000116</v>
      </c>
      <c r="I57" s="313" t="s">
        <v>426</v>
      </c>
      <c r="J57" s="313" t="s">
        <v>427</v>
      </c>
      <c r="K57" s="315">
        <v>981965.55</v>
      </c>
      <c r="L57" s="316">
        <v>44590</v>
      </c>
      <c r="M57" s="316">
        <v>45010</v>
      </c>
      <c r="N57" s="313">
        <v>420</v>
      </c>
      <c r="O57" s="317" t="s">
        <v>334</v>
      </c>
      <c r="P57" s="313" t="s">
        <v>349</v>
      </c>
      <c r="Q57" s="310">
        <v>0</v>
      </c>
      <c r="R57" s="310">
        <v>0</v>
      </c>
      <c r="S57" s="310">
        <v>72311.210000000006</v>
      </c>
      <c r="T57" s="310">
        <v>74721.583666666673</v>
      </c>
      <c r="U57" s="310">
        <v>72311.210000000006</v>
      </c>
      <c r="V57" s="310">
        <v>74721.583666666673</v>
      </c>
      <c r="W57" s="310">
        <v>74721.583666666673</v>
      </c>
      <c r="X57" s="310">
        <v>72311.210000000006</v>
      </c>
      <c r="Y57" s="310">
        <v>74721.583666666673</v>
      </c>
      <c r="Z57" s="310">
        <v>72311.210000000006</v>
      </c>
      <c r="AA57" s="310">
        <v>74721.583666666673</v>
      </c>
      <c r="AB57" s="310">
        <v>74721.583666666673</v>
      </c>
      <c r="AC57" s="310">
        <v>67490.462666666674</v>
      </c>
      <c r="AD57" s="310">
        <v>74721.583666666673</v>
      </c>
      <c r="AE57" s="309">
        <v>172606.85827000003</v>
      </c>
      <c r="AF57" s="309">
        <v>172606.85827000003</v>
      </c>
      <c r="AG57" s="309">
        <v>172606.85827000003</v>
      </c>
      <c r="AH57" s="309">
        <v>172606.85827000003</v>
      </c>
      <c r="AI57" s="309">
        <v>172606.85827000003</v>
      </c>
      <c r="AJ57" s="309">
        <v>172606.85827000003</v>
      </c>
      <c r="AK57" s="309">
        <v>172606.85827000003</v>
      </c>
      <c r="AL57" s="309">
        <v>172606.85827000003</v>
      </c>
      <c r="AM57" s="309">
        <v>172606.85827000003</v>
      </c>
      <c r="AN57" s="309">
        <v>172606.85827000003</v>
      </c>
      <c r="AO57" s="309">
        <v>172606.85827000003</v>
      </c>
      <c r="AP57" s="309">
        <v>172606.85827000003</v>
      </c>
      <c r="AQ57" s="309">
        <v>172606.85827000003</v>
      </c>
      <c r="AR57" s="309">
        <v>193319.68126240006</v>
      </c>
      <c r="AS57" s="309">
        <v>193319.68126240006</v>
      </c>
      <c r="AT57" s="309">
        <v>193319.68126240006</v>
      </c>
      <c r="AU57" s="309">
        <v>193319.68126240006</v>
      </c>
      <c r="AV57" s="309">
        <v>193319.68126240006</v>
      </c>
      <c r="AW57" s="309">
        <v>193319.68126240006</v>
      </c>
      <c r="AX57" s="309">
        <v>193319.68126240006</v>
      </c>
      <c r="AY57" s="309">
        <v>193319.68126240006</v>
      </c>
      <c r="AZ57" t="s">
        <v>425</v>
      </c>
    </row>
    <row r="58" spans="3:52">
      <c r="C58" s="312">
        <v>362540</v>
      </c>
      <c r="D58" s="313" t="s">
        <v>344</v>
      </c>
      <c r="E58" s="313" t="s">
        <v>384</v>
      </c>
      <c r="F58" s="313">
        <v>312</v>
      </c>
      <c r="G58" s="313" t="s">
        <v>311</v>
      </c>
      <c r="H58" s="314">
        <v>27595780000116</v>
      </c>
      <c r="I58" s="313" t="s">
        <v>426</v>
      </c>
      <c r="J58" s="313" t="s">
        <v>427</v>
      </c>
      <c r="K58" s="315">
        <v>838548.26</v>
      </c>
      <c r="L58" s="316">
        <v>44590</v>
      </c>
      <c r="M58" s="316">
        <v>45010</v>
      </c>
      <c r="N58" s="313">
        <v>420</v>
      </c>
      <c r="O58" s="317" t="s">
        <v>334</v>
      </c>
      <c r="P58" s="313" t="s">
        <v>349</v>
      </c>
      <c r="Q58" s="310">
        <v>0</v>
      </c>
      <c r="R58" s="310">
        <v>0</v>
      </c>
      <c r="S58" s="310">
        <v>61739.3</v>
      </c>
      <c r="T58" s="310">
        <v>63797.276666666672</v>
      </c>
      <c r="U58" s="310">
        <v>61739.30000000001</v>
      </c>
      <c r="V58" s="310">
        <v>63797.276666666672</v>
      </c>
      <c r="W58" s="310">
        <v>63797.276666666672</v>
      </c>
      <c r="X58" s="310">
        <v>61739.30000000001</v>
      </c>
      <c r="Y58" s="310">
        <v>63797.276666666672</v>
      </c>
      <c r="Z58" s="310">
        <v>61739.30000000001</v>
      </c>
      <c r="AA58" s="310">
        <v>63797.276666666672</v>
      </c>
      <c r="AB58" s="310">
        <v>63797.276666666672</v>
      </c>
      <c r="AC58" s="310">
        <v>57623.346666666672</v>
      </c>
      <c r="AD58" s="310">
        <v>63797.276666666672</v>
      </c>
      <c r="AE58" s="309">
        <v>147371.70910000001</v>
      </c>
      <c r="AF58" s="309">
        <v>147371.70910000001</v>
      </c>
      <c r="AG58" s="309">
        <v>147371.70910000001</v>
      </c>
      <c r="AH58" s="309">
        <v>147371.70910000001</v>
      </c>
      <c r="AI58" s="309">
        <v>147371.70910000001</v>
      </c>
      <c r="AJ58" s="309">
        <v>147371.70910000001</v>
      </c>
      <c r="AK58" s="309">
        <v>147371.70910000001</v>
      </c>
      <c r="AL58" s="309">
        <v>147371.70910000001</v>
      </c>
      <c r="AM58" s="309">
        <v>147371.70910000001</v>
      </c>
      <c r="AN58" s="309">
        <v>147371.70910000001</v>
      </c>
      <c r="AO58" s="309">
        <v>147371.70910000001</v>
      </c>
      <c r="AP58" s="309">
        <v>147371.70910000001</v>
      </c>
      <c r="AQ58" s="309">
        <v>147371.70910000001</v>
      </c>
      <c r="AR58" s="309">
        <v>165056.31419200002</v>
      </c>
      <c r="AS58" s="309">
        <v>165056.31419200002</v>
      </c>
      <c r="AT58" s="309">
        <v>165056.31419200002</v>
      </c>
      <c r="AU58" s="309">
        <v>165056.31419200002</v>
      </c>
      <c r="AV58" s="309">
        <v>165056.31419200002</v>
      </c>
      <c r="AW58" s="309">
        <v>165056.31419200002</v>
      </c>
      <c r="AX58" s="309">
        <v>165056.31419200002</v>
      </c>
      <c r="AY58" s="309">
        <v>165056.31419200002</v>
      </c>
      <c r="AZ58" t="s">
        <v>425</v>
      </c>
    </row>
    <row r="59" spans="3:52">
      <c r="C59" s="312">
        <v>321701</v>
      </c>
      <c r="D59" s="313" t="s">
        <v>428</v>
      </c>
      <c r="E59" s="313" t="s">
        <v>359</v>
      </c>
      <c r="F59" s="313">
        <v>312</v>
      </c>
      <c r="G59" s="313" t="s">
        <v>311</v>
      </c>
      <c r="H59" s="318">
        <v>27595780000116</v>
      </c>
      <c r="I59" s="313" t="s">
        <v>426</v>
      </c>
      <c r="J59" s="313" t="s">
        <v>429</v>
      </c>
      <c r="K59" s="315">
        <v>12819966.84</v>
      </c>
      <c r="L59" s="316">
        <v>43725</v>
      </c>
      <c r="M59" s="316">
        <v>44820</v>
      </c>
      <c r="N59" s="313">
        <v>1095</v>
      </c>
      <c r="O59" s="317" t="s">
        <v>334</v>
      </c>
      <c r="P59" s="313" t="s">
        <v>349</v>
      </c>
      <c r="Q59" s="310">
        <v>4273515.29</v>
      </c>
      <c r="R59" s="310">
        <v>1053485.1099999999</v>
      </c>
      <c r="S59" s="310">
        <v>362939.94</v>
      </c>
      <c r="T59" s="310">
        <v>375037.93799999997</v>
      </c>
      <c r="U59" s="310">
        <v>362939.94</v>
      </c>
      <c r="V59" s="310">
        <v>375037.93799999997</v>
      </c>
      <c r="W59" s="310">
        <v>375037.93799999997</v>
      </c>
      <c r="X59" s="310">
        <v>362939.94</v>
      </c>
      <c r="Y59" s="309">
        <v>375037.93799999997</v>
      </c>
      <c r="Z59" s="309">
        <v>362939.94</v>
      </c>
      <c r="AA59" s="309">
        <v>375037.93799999997</v>
      </c>
      <c r="AB59" s="309">
        <v>375037.93799999997</v>
      </c>
      <c r="AC59" s="309">
        <v>338743.94400000002</v>
      </c>
      <c r="AD59" s="309">
        <v>375037.93800000002</v>
      </c>
      <c r="AE59" s="309">
        <v>362939.94000000006</v>
      </c>
      <c r="AF59" s="309">
        <v>375037.93800000002</v>
      </c>
      <c r="AG59" s="309">
        <v>362939.94000000006</v>
      </c>
      <c r="AH59" s="309">
        <v>375037.93800000002</v>
      </c>
      <c r="AI59" s="309">
        <v>375037.93800000002</v>
      </c>
      <c r="AJ59" s="309">
        <v>362939.94000000006</v>
      </c>
      <c r="AK59" s="309">
        <v>375037.93800000002</v>
      </c>
      <c r="AL59" s="309">
        <v>362939.94000000006</v>
      </c>
      <c r="AM59" s="309">
        <v>375037.93800000002</v>
      </c>
      <c r="AN59" s="309">
        <v>375037.93800000002</v>
      </c>
      <c r="AO59" s="309">
        <v>350841.94200000004</v>
      </c>
      <c r="AP59" s="309">
        <v>375037.93800000002</v>
      </c>
      <c r="AQ59" s="309">
        <v>362939.94000000006</v>
      </c>
      <c r="AR59" s="309">
        <v>375037.93800000002</v>
      </c>
      <c r="AS59" s="309">
        <v>362939.94000000006</v>
      </c>
      <c r="AT59" s="309">
        <v>375037.93800000002</v>
      </c>
      <c r="AU59" s="309">
        <v>375037.93800000002</v>
      </c>
      <c r="AV59" s="309">
        <v>362939.94000000006</v>
      </c>
      <c r="AW59" s="309">
        <v>375037.93800000002</v>
      </c>
      <c r="AX59" s="309">
        <v>362939.94000000006</v>
      </c>
      <c r="AY59" s="309">
        <v>375037.93800000002</v>
      </c>
    </row>
    <row r="60" spans="3:52">
      <c r="C60" s="312">
        <v>346594</v>
      </c>
      <c r="D60" s="313" t="s">
        <v>344</v>
      </c>
      <c r="E60" s="313" t="s">
        <v>384</v>
      </c>
      <c r="F60" s="313">
        <v>312</v>
      </c>
      <c r="G60" s="313" t="s">
        <v>311</v>
      </c>
      <c r="H60" s="318">
        <v>27595780000116</v>
      </c>
      <c r="I60" s="313" t="s">
        <v>426</v>
      </c>
      <c r="J60" s="313" t="s">
        <v>429</v>
      </c>
      <c r="K60" s="315">
        <v>214527.33</v>
      </c>
      <c r="L60" s="316">
        <v>44069</v>
      </c>
      <c r="M60" s="316">
        <v>44820</v>
      </c>
      <c r="N60" s="313">
        <v>751</v>
      </c>
      <c r="O60" s="317" t="s">
        <v>334</v>
      </c>
      <c r="P60" s="313" t="s">
        <v>349</v>
      </c>
      <c r="Q60" s="310">
        <v>130260.94999999998</v>
      </c>
      <c r="R60" s="310">
        <v>25710.19</v>
      </c>
      <c r="S60" s="310">
        <v>8855.73</v>
      </c>
      <c r="T60" s="310">
        <v>9150.9209999999985</v>
      </c>
      <c r="U60" s="310">
        <v>8855.73</v>
      </c>
      <c r="V60" s="310">
        <v>9150.9209999999985</v>
      </c>
      <c r="W60" s="310">
        <v>9150.9209999999985</v>
      </c>
      <c r="X60" s="310">
        <v>8855.73</v>
      </c>
      <c r="Y60" s="309">
        <v>9150.9209999999985</v>
      </c>
      <c r="Z60" s="309">
        <v>8855.73</v>
      </c>
      <c r="AA60" s="309">
        <v>9150.9209999999985</v>
      </c>
      <c r="AB60" s="309">
        <v>9150.9209999999985</v>
      </c>
      <c r="AC60" s="309">
        <v>8265.348</v>
      </c>
      <c r="AD60" s="309">
        <v>9150.9209999999985</v>
      </c>
      <c r="AE60" s="309">
        <v>8855.73</v>
      </c>
      <c r="AF60" s="309">
        <v>9150.9209999999985</v>
      </c>
      <c r="AG60" s="309">
        <v>8855.73</v>
      </c>
      <c r="AH60" s="309">
        <v>9150.9209999999985</v>
      </c>
      <c r="AI60" s="309">
        <v>9150.9209999999985</v>
      </c>
      <c r="AJ60" s="309">
        <v>8855.73</v>
      </c>
      <c r="AK60" s="309">
        <v>9150.9209999999985</v>
      </c>
      <c r="AL60" s="309">
        <v>8855.73</v>
      </c>
      <c r="AM60" s="309">
        <v>9150.9209999999985</v>
      </c>
      <c r="AN60" s="309">
        <v>9150.9209999999985</v>
      </c>
      <c r="AO60" s="309">
        <v>8560.5389999999989</v>
      </c>
      <c r="AP60" s="309">
        <v>9150.9209999999985</v>
      </c>
      <c r="AQ60" s="309">
        <v>8855.73</v>
      </c>
      <c r="AR60" s="309">
        <v>9150.9209999999985</v>
      </c>
      <c r="AS60" s="309">
        <v>8855.73</v>
      </c>
      <c r="AT60" s="309">
        <v>9150.9209999999985</v>
      </c>
      <c r="AU60" s="309">
        <v>9150.9209999999985</v>
      </c>
      <c r="AV60" s="309">
        <v>8855.73</v>
      </c>
      <c r="AW60" s="309">
        <v>9150.9209999999985</v>
      </c>
      <c r="AX60" s="309">
        <v>8855.73</v>
      </c>
      <c r="AY60" s="309">
        <v>9150.9209999999985</v>
      </c>
    </row>
    <row r="61" spans="3:52">
      <c r="C61" s="312">
        <v>359078</v>
      </c>
      <c r="D61" s="313" t="s">
        <v>344</v>
      </c>
      <c r="E61" s="313" t="s">
        <v>384</v>
      </c>
      <c r="F61" s="313">
        <v>312</v>
      </c>
      <c r="G61" s="313" t="s">
        <v>311</v>
      </c>
      <c r="H61" s="318">
        <v>27595780000116</v>
      </c>
      <c r="I61" s="313" t="s">
        <v>426</v>
      </c>
      <c r="J61" s="313" t="s">
        <v>429</v>
      </c>
      <c r="K61" s="315">
        <v>448125.06</v>
      </c>
      <c r="L61" s="316">
        <v>44434</v>
      </c>
      <c r="M61" s="316">
        <v>44819</v>
      </c>
      <c r="N61" s="313">
        <v>385</v>
      </c>
      <c r="O61" s="317" t="s">
        <v>334</v>
      </c>
      <c r="P61" s="313" t="s">
        <v>349</v>
      </c>
      <c r="Q61" s="310">
        <v>0</v>
      </c>
      <c r="R61" s="310">
        <v>217288.38999999998</v>
      </c>
      <c r="S61" s="310">
        <v>36021.07</v>
      </c>
      <c r="T61" s="310">
        <v>37221.772333333334</v>
      </c>
      <c r="U61" s="310">
        <v>36021.07</v>
      </c>
      <c r="V61" s="310">
        <v>37221.772333333334</v>
      </c>
      <c r="W61" s="310">
        <v>37221.772333333334</v>
      </c>
      <c r="X61" s="310">
        <v>36021.07</v>
      </c>
      <c r="Y61" s="309">
        <v>37221.772333333334</v>
      </c>
      <c r="Z61" s="309">
        <v>36021.07</v>
      </c>
      <c r="AA61" s="309">
        <v>37221.772333333334</v>
      </c>
      <c r="AB61" s="309">
        <v>37221.772333333334</v>
      </c>
      <c r="AC61" s="309">
        <v>33619.665333333338</v>
      </c>
      <c r="AD61" s="309">
        <v>37221.772333333334</v>
      </c>
      <c r="AE61" s="309">
        <v>36021.07</v>
      </c>
      <c r="AF61" s="309">
        <v>37221.772333333334</v>
      </c>
      <c r="AG61" s="309">
        <v>36021.07</v>
      </c>
      <c r="AH61" s="309">
        <v>37221.772333333334</v>
      </c>
      <c r="AI61" s="309">
        <v>37221.772333333334</v>
      </c>
      <c r="AJ61" s="309">
        <v>36021.07</v>
      </c>
      <c r="AK61" s="309">
        <v>37221.772333333334</v>
      </c>
      <c r="AL61" s="309">
        <v>36021.07</v>
      </c>
      <c r="AM61" s="309">
        <v>37221.772333333334</v>
      </c>
      <c r="AN61" s="309">
        <v>37221.772333333334</v>
      </c>
      <c r="AO61" s="309">
        <v>34820.367666666665</v>
      </c>
      <c r="AP61" s="309">
        <v>37221.772333333327</v>
      </c>
      <c r="AQ61" s="309">
        <v>36021.069999999992</v>
      </c>
      <c r="AR61" s="309">
        <v>37221.772333333327</v>
      </c>
      <c r="AS61" s="309">
        <v>36021.069999999992</v>
      </c>
      <c r="AT61" s="309">
        <v>37221.772333333327</v>
      </c>
      <c r="AU61" s="309">
        <v>37221.772333333327</v>
      </c>
      <c r="AV61" s="309">
        <v>36021.069999999992</v>
      </c>
      <c r="AW61" s="309">
        <v>37221.772333333327</v>
      </c>
      <c r="AX61" s="309">
        <v>36021.069999999992</v>
      </c>
      <c r="AY61" s="309">
        <v>37221.772333333327</v>
      </c>
    </row>
    <row r="62" spans="3:52">
      <c r="C62" s="287" t="s">
        <v>430</v>
      </c>
      <c r="D62" t="s">
        <v>406</v>
      </c>
      <c r="E62" t="s">
        <v>359</v>
      </c>
      <c r="F62">
        <v>319</v>
      </c>
      <c r="G62" t="s">
        <v>311</v>
      </c>
      <c r="H62" s="288">
        <v>10854627000163</v>
      </c>
      <c r="I62" t="s">
        <v>431</v>
      </c>
      <c r="J62" t="s">
        <v>432</v>
      </c>
      <c r="K62" s="289">
        <v>1065336.8400000001</v>
      </c>
      <c r="L62" s="290">
        <v>42993</v>
      </c>
      <c r="M62" s="290">
        <v>44818</v>
      </c>
      <c r="N62">
        <v>1825</v>
      </c>
      <c r="O62" s="291" t="s">
        <v>334</v>
      </c>
      <c r="P62" t="s">
        <v>349</v>
      </c>
      <c r="Q62" s="292">
        <v>218312.28</v>
      </c>
      <c r="R62" s="292">
        <v>54578.069999999992</v>
      </c>
      <c r="S62" s="292">
        <v>18192.689999999999</v>
      </c>
      <c r="T62" s="292">
        <v>18192.689999999999</v>
      </c>
      <c r="U62" s="292">
        <v>18192.689999999999</v>
      </c>
      <c r="V62" s="292">
        <v>18192.689999999999</v>
      </c>
      <c r="W62" s="292">
        <v>18192.689999999999</v>
      </c>
      <c r="X62" s="292">
        <v>18192.689999999999</v>
      </c>
      <c r="Y62" s="308">
        <v>20193.885900000001</v>
      </c>
      <c r="Z62" s="319">
        <v>20193.885900000001</v>
      </c>
      <c r="AA62" s="319">
        <v>20193.885900000001</v>
      </c>
      <c r="AB62" s="319">
        <v>20193.885900000001</v>
      </c>
      <c r="AC62" s="319">
        <v>20193.885900000001</v>
      </c>
      <c r="AD62" s="319">
        <v>20193.885900000001</v>
      </c>
      <c r="AE62" s="319">
        <v>20193.885900000001</v>
      </c>
      <c r="AF62" s="319">
        <v>20193.885900000001</v>
      </c>
      <c r="AG62" s="319">
        <v>20193.885900000001</v>
      </c>
      <c r="AH62" s="319">
        <v>20193.885900000001</v>
      </c>
      <c r="AI62" s="319">
        <v>20193.885900000001</v>
      </c>
      <c r="AJ62" s="319">
        <v>20193.885900000001</v>
      </c>
      <c r="AK62" s="308">
        <v>22415.213349000001</v>
      </c>
      <c r="AL62" s="308">
        <v>22415.213349000001</v>
      </c>
      <c r="AM62" s="308">
        <v>22415.213349000001</v>
      </c>
      <c r="AN62" s="308">
        <v>22415.213349000001</v>
      </c>
      <c r="AO62" s="308">
        <v>22415.213349000001</v>
      </c>
      <c r="AP62" s="308">
        <v>22415.213349000001</v>
      </c>
      <c r="AQ62" s="308">
        <v>22415.213349000001</v>
      </c>
      <c r="AR62" s="308">
        <v>22415.213349000001</v>
      </c>
      <c r="AS62" s="308">
        <v>22415.213349000001</v>
      </c>
      <c r="AT62" s="308">
        <v>22415.213349000001</v>
      </c>
      <c r="AU62" s="308">
        <v>22415.213349000001</v>
      </c>
      <c r="AV62" s="308">
        <v>22415.213349000001</v>
      </c>
      <c r="AW62" s="308">
        <v>24880.886817390005</v>
      </c>
      <c r="AX62" s="308">
        <v>24880.886817390005</v>
      </c>
      <c r="AY62" s="308">
        <v>24880.886817390005</v>
      </c>
    </row>
    <row r="63" spans="3:52">
      <c r="C63" s="320" t="s">
        <v>433</v>
      </c>
      <c r="D63" t="s">
        <v>434</v>
      </c>
      <c r="E63" t="s">
        <v>359</v>
      </c>
      <c r="F63">
        <v>319</v>
      </c>
      <c r="G63" t="s">
        <v>311</v>
      </c>
      <c r="H63" s="288">
        <v>75076836000179</v>
      </c>
      <c r="I63" t="s">
        <v>435</v>
      </c>
      <c r="J63" t="s">
        <v>436</v>
      </c>
      <c r="K63" s="289">
        <v>187143</v>
      </c>
      <c r="L63" s="290">
        <v>43507</v>
      </c>
      <c r="M63" s="290">
        <v>45333</v>
      </c>
      <c r="N63">
        <v>1826</v>
      </c>
      <c r="O63" s="291" t="s">
        <v>334</v>
      </c>
      <c r="P63" t="s">
        <v>349</v>
      </c>
      <c r="Q63" s="292">
        <v>29422.07</v>
      </c>
      <c r="R63" s="292">
        <v>9949.64</v>
      </c>
      <c r="S63" s="292">
        <v>3881.33</v>
      </c>
      <c r="T63" s="292">
        <v>3881.33</v>
      </c>
      <c r="U63" s="292">
        <v>3881.33</v>
      </c>
      <c r="V63" s="292">
        <v>3881.33</v>
      </c>
      <c r="W63" s="292">
        <v>3881.33</v>
      </c>
      <c r="X63" s="292">
        <v>3881.33</v>
      </c>
      <c r="Y63" s="292">
        <v>3881.33</v>
      </c>
      <c r="Z63" s="292">
        <v>3881.33</v>
      </c>
      <c r="AA63" s="292">
        <v>3881.33</v>
      </c>
      <c r="AB63" s="292">
        <v>3881.33</v>
      </c>
      <c r="AC63" s="292">
        <v>3881.33</v>
      </c>
      <c r="AD63" s="292">
        <v>3881.33</v>
      </c>
      <c r="AE63" s="292">
        <v>4308.2763000000004</v>
      </c>
      <c r="AF63" s="292">
        <v>4308.2763000000004</v>
      </c>
      <c r="AG63" s="292">
        <v>4308.2763000000004</v>
      </c>
      <c r="AH63" s="292">
        <v>4308.2763000000004</v>
      </c>
      <c r="AI63" s="292">
        <v>4308.2763000000004</v>
      </c>
      <c r="AJ63" s="292">
        <v>4308.2763000000004</v>
      </c>
      <c r="AK63" s="292">
        <v>4308.2763000000004</v>
      </c>
      <c r="AL63" s="292">
        <v>4308.2763000000004</v>
      </c>
      <c r="AM63" s="292">
        <v>4308.2763000000004</v>
      </c>
      <c r="AN63" s="292">
        <v>4308.2763000000004</v>
      </c>
      <c r="AO63" s="292">
        <v>4308.2763000000004</v>
      </c>
      <c r="AP63" s="308">
        <v>4308.2763000000004</v>
      </c>
      <c r="AQ63" s="308">
        <v>4782.1866930000006</v>
      </c>
      <c r="AR63" s="308">
        <v>4782.1866930000006</v>
      </c>
      <c r="AS63" s="308">
        <v>4782.1866930000006</v>
      </c>
      <c r="AT63" s="308">
        <v>4782.1866930000006</v>
      </c>
      <c r="AU63" s="308">
        <v>4782.1866930000006</v>
      </c>
      <c r="AV63" s="308">
        <v>4782.1866930000006</v>
      </c>
      <c r="AW63" s="308">
        <v>4782.1866930000006</v>
      </c>
      <c r="AX63" s="308">
        <v>4782.1866930000006</v>
      </c>
      <c r="AY63" s="308">
        <v>4782.1866930000006</v>
      </c>
    </row>
    <row r="64" spans="3:52">
      <c r="C64" s="320" t="s">
        <v>437</v>
      </c>
      <c r="D64" t="s">
        <v>434</v>
      </c>
      <c r="E64" t="s">
        <v>359</v>
      </c>
      <c r="F64">
        <v>319</v>
      </c>
      <c r="G64" t="s">
        <v>311</v>
      </c>
      <c r="H64" s="288">
        <v>75076836000179</v>
      </c>
      <c r="I64" t="s">
        <v>435</v>
      </c>
      <c r="J64" t="s">
        <v>438</v>
      </c>
      <c r="K64" s="289">
        <v>143991</v>
      </c>
      <c r="L64" s="290">
        <v>43507</v>
      </c>
      <c r="M64" s="290">
        <v>45332</v>
      </c>
      <c r="N64">
        <v>1825</v>
      </c>
      <c r="O64" s="291" t="s">
        <v>334</v>
      </c>
      <c r="P64" t="s">
        <v>349</v>
      </c>
      <c r="Q64" s="292">
        <v>32348.51</v>
      </c>
      <c r="R64" s="292">
        <v>5691.9</v>
      </c>
      <c r="S64" s="321">
        <v>3003.1494000000002</v>
      </c>
      <c r="T64" s="292">
        <v>3003.1494000000002</v>
      </c>
      <c r="U64" s="292">
        <v>3003.1494000000002</v>
      </c>
      <c r="V64" s="292">
        <v>3003.1494000000002</v>
      </c>
      <c r="W64" s="292">
        <v>3003.1494000000002</v>
      </c>
      <c r="X64" s="292">
        <v>3003.1494000000002</v>
      </c>
      <c r="Y64" s="292">
        <v>3003.1494000000002</v>
      </c>
      <c r="Z64" s="292">
        <v>3003.1494000000002</v>
      </c>
      <c r="AA64" s="292">
        <v>3003.1494000000002</v>
      </c>
      <c r="AB64" s="292">
        <v>3003.1494000000002</v>
      </c>
      <c r="AC64" s="292">
        <v>3003.1494000000002</v>
      </c>
      <c r="AD64" s="292">
        <v>3003.1494000000002</v>
      </c>
      <c r="AE64" s="292">
        <v>3333.4958340000007</v>
      </c>
      <c r="AF64" s="292">
        <v>3333.4958340000007</v>
      </c>
      <c r="AG64" s="292">
        <v>3333.4958340000007</v>
      </c>
      <c r="AH64" s="292">
        <v>3333.4958340000007</v>
      </c>
      <c r="AI64" s="292">
        <v>3333.4958340000007</v>
      </c>
      <c r="AJ64" s="292">
        <v>3333.4958340000007</v>
      </c>
      <c r="AK64" s="292">
        <v>3333.4958340000007</v>
      </c>
      <c r="AL64" s="292">
        <v>3333.4958340000007</v>
      </c>
      <c r="AM64" s="292">
        <v>3333.4958340000007</v>
      </c>
      <c r="AN64" s="292">
        <v>3333.4958340000007</v>
      </c>
      <c r="AO64" s="292">
        <v>3333.4958340000007</v>
      </c>
      <c r="AP64" s="308">
        <v>3333.4958340000007</v>
      </c>
      <c r="AQ64" s="308">
        <v>3700.1803757400012</v>
      </c>
      <c r="AR64" s="308">
        <v>3700.1803757400012</v>
      </c>
      <c r="AS64" s="308">
        <v>3700.1803757400012</v>
      </c>
      <c r="AT64" s="308">
        <v>3700.1803757400012</v>
      </c>
      <c r="AU64" s="308">
        <v>3700.1803757400012</v>
      </c>
      <c r="AV64" s="308">
        <v>3700.1803757400012</v>
      </c>
      <c r="AW64" s="308">
        <v>3700.1803757400012</v>
      </c>
      <c r="AX64" s="308">
        <v>3700.1803757400012</v>
      </c>
      <c r="AY64" s="308">
        <v>3700.1803757400012</v>
      </c>
    </row>
    <row r="65" spans="3:51">
      <c r="C65" s="287" t="s">
        <v>439</v>
      </c>
      <c r="D65" t="s">
        <v>440</v>
      </c>
      <c r="E65" t="s">
        <v>359</v>
      </c>
      <c r="F65">
        <v>319</v>
      </c>
      <c r="G65" t="s">
        <v>311</v>
      </c>
      <c r="H65" s="288">
        <v>75076836000179</v>
      </c>
      <c r="I65" t="s">
        <v>435</v>
      </c>
      <c r="J65" t="s">
        <v>441</v>
      </c>
      <c r="K65" s="289">
        <v>5721</v>
      </c>
      <c r="L65" s="290">
        <v>43619</v>
      </c>
      <c r="M65" s="290">
        <v>45445</v>
      </c>
      <c r="N65">
        <v>1826</v>
      </c>
      <c r="O65" s="291" t="s">
        <v>334</v>
      </c>
      <c r="P65" t="s">
        <v>349</v>
      </c>
      <c r="Q65" s="292">
        <v>755.57</v>
      </c>
      <c r="R65" s="292">
        <v>0</v>
      </c>
      <c r="S65" s="292">
        <v>7008.0516000000007</v>
      </c>
      <c r="T65" s="292">
        <v>7008.0516000000007</v>
      </c>
      <c r="U65" s="292">
        <v>7008.0516000000007</v>
      </c>
      <c r="V65" s="292">
        <v>7008.0516000000007</v>
      </c>
      <c r="W65" s="292">
        <v>7008.0516000000007</v>
      </c>
      <c r="X65" s="292">
        <v>7008.0516000000007</v>
      </c>
      <c r="Y65" s="292">
        <v>7008.0516000000007</v>
      </c>
      <c r="Z65" s="292">
        <v>7008.0516000000007</v>
      </c>
      <c r="AA65" s="292">
        <v>7008.0516000000007</v>
      </c>
      <c r="AB65" s="292">
        <v>7008.0516000000007</v>
      </c>
      <c r="AC65" s="292">
        <v>7008.0516000000007</v>
      </c>
      <c r="AD65" s="292">
        <v>7008.0516000000007</v>
      </c>
      <c r="AE65" s="292">
        <v>7778.9372760000015</v>
      </c>
      <c r="AF65" s="292">
        <v>7778.9372760000015</v>
      </c>
      <c r="AG65" s="292">
        <v>7778.9372760000015</v>
      </c>
      <c r="AH65" s="292">
        <v>7778.9372760000015</v>
      </c>
      <c r="AI65" s="292">
        <v>7778.9372760000015</v>
      </c>
      <c r="AJ65" s="292">
        <v>7778.9372760000015</v>
      </c>
      <c r="AK65" s="292">
        <v>7778.9372760000015</v>
      </c>
      <c r="AL65" s="292">
        <v>7778.9372760000015</v>
      </c>
      <c r="AM65" s="292">
        <v>7778.9372760000015</v>
      </c>
      <c r="AN65" s="292">
        <v>7778.9372760000015</v>
      </c>
      <c r="AO65" s="292">
        <v>7778.9372760000015</v>
      </c>
      <c r="AP65" s="292">
        <v>7778.9372760000015</v>
      </c>
      <c r="AQ65" s="292">
        <v>8634.6203763600024</v>
      </c>
      <c r="AR65" s="292">
        <v>8634.6203763600024</v>
      </c>
      <c r="AS65" s="292">
        <v>8634.6203763600024</v>
      </c>
      <c r="AT65" s="308">
        <v>8634.6203763600024</v>
      </c>
      <c r="AU65" s="308">
        <v>8634.6203763600024</v>
      </c>
      <c r="AV65" s="308">
        <v>8634.6203763600024</v>
      </c>
      <c r="AW65" s="308">
        <v>8634.6203763600024</v>
      </c>
      <c r="AX65" s="308">
        <v>8634.6203763600024</v>
      </c>
      <c r="AY65" s="308">
        <v>8634.6203763600024</v>
      </c>
    </row>
    <row r="66" spans="3:51">
      <c r="C66" s="287">
        <v>336331</v>
      </c>
      <c r="D66" t="s">
        <v>344</v>
      </c>
      <c r="E66" t="s">
        <v>384</v>
      </c>
      <c r="F66">
        <v>319</v>
      </c>
      <c r="G66" t="s">
        <v>311</v>
      </c>
      <c r="H66" s="288">
        <v>75076836000179</v>
      </c>
      <c r="I66" t="s">
        <v>435</v>
      </c>
      <c r="J66" t="s">
        <v>441</v>
      </c>
      <c r="K66" s="289">
        <v>1461.72</v>
      </c>
      <c r="L66" s="290">
        <v>43983</v>
      </c>
      <c r="M66" s="290">
        <v>45445</v>
      </c>
      <c r="N66">
        <v>1462</v>
      </c>
      <c r="O66" s="291" t="s">
        <v>334</v>
      </c>
      <c r="P66" t="s">
        <v>349</v>
      </c>
      <c r="Q66" s="292">
        <v>165.63</v>
      </c>
      <c r="R66" s="292">
        <v>0</v>
      </c>
      <c r="S66" s="292">
        <v>121.81140000000001</v>
      </c>
      <c r="T66" s="292">
        <v>121.81140000000001</v>
      </c>
      <c r="U66" s="292">
        <v>121.81140000000001</v>
      </c>
      <c r="V66" s="292">
        <v>121.81140000000001</v>
      </c>
      <c r="W66" s="292">
        <v>121.81140000000001</v>
      </c>
      <c r="X66" s="292">
        <v>121.81140000000001</v>
      </c>
      <c r="Y66" s="292">
        <v>121.81140000000001</v>
      </c>
      <c r="Z66" s="292">
        <v>121.81140000000001</v>
      </c>
      <c r="AA66" s="292">
        <v>121.81140000000001</v>
      </c>
      <c r="AB66" s="292">
        <v>121.81140000000001</v>
      </c>
      <c r="AC66" s="292">
        <v>121.81140000000001</v>
      </c>
      <c r="AD66" s="292">
        <v>121.81140000000001</v>
      </c>
      <c r="AE66" s="292">
        <v>135.21065400000001</v>
      </c>
      <c r="AF66" s="322">
        <v>135.21065400000001</v>
      </c>
      <c r="AG66" s="322">
        <v>135.21065400000001</v>
      </c>
      <c r="AH66" s="322">
        <v>135.21065400000001</v>
      </c>
      <c r="AI66" s="322">
        <v>135.21065400000001</v>
      </c>
      <c r="AJ66" s="322">
        <v>135.21065400000001</v>
      </c>
      <c r="AK66" s="322">
        <v>135.21065400000001</v>
      </c>
      <c r="AL66" s="322">
        <v>135.21065400000001</v>
      </c>
      <c r="AM66" s="322">
        <v>135.21065400000001</v>
      </c>
      <c r="AN66" s="322">
        <v>135.21065400000001</v>
      </c>
      <c r="AO66" s="322">
        <v>135.21065400000001</v>
      </c>
      <c r="AP66" s="322">
        <v>135.21065400000001</v>
      </c>
      <c r="AQ66" s="292">
        <v>150.08382594000003</v>
      </c>
      <c r="AR66" s="292">
        <v>150.08382594000003</v>
      </c>
      <c r="AS66" s="292">
        <v>150.08382594000003</v>
      </c>
      <c r="AT66" s="308">
        <v>150.08382594000003</v>
      </c>
      <c r="AU66" s="308">
        <v>150.08382594000003</v>
      </c>
      <c r="AV66" s="308">
        <v>150.08382594000003</v>
      </c>
      <c r="AW66" s="308">
        <v>150.08382594000003</v>
      </c>
      <c r="AX66" s="308">
        <v>150.08382594000003</v>
      </c>
      <c r="AY66" s="308">
        <v>150.08382594</v>
      </c>
    </row>
    <row r="67" spans="3:51">
      <c r="C67" s="287">
        <v>350136</v>
      </c>
      <c r="D67" t="s">
        <v>344</v>
      </c>
      <c r="E67" t="s">
        <v>353</v>
      </c>
      <c r="F67">
        <v>319</v>
      </c>
      <c r="G67" t="s">
        <v>311</v>
      </c>
      <c r="H67" s="302">
        <v>75076836000179</v>
      </c>
      <c r="I67" t="s">
        <v>435</v>
      </c>
      <c r="J67" t="s">
        <v>442</v>
      </c>
      <c r="K67" s="289">
        <v>44080.68</v>
      </c>
      <c r="L67" s="290">
        <v>44348</v>
      </c>
      <c r="M67" s="290">
        <v>44712</v>
      </c>
      <c r="N67">
        <v>364</v>
      </c>
      <c r="O67" s="291" t="s">
        <v>334</v>
      </c>
      <c r="P67" t="s">
        <v>349</v>
      </c>
      <c r="Q67" s="292">
        <v>25713.73</v>
      </c>
      <c r="R67" s="292">
        <v>11020.17</v>
      </c>
      <c r="S67" s="292">
        <v>3673.39</v>
      </c>
      <c r="T67" s="292">
        <v>3673.39</v>
      </c>
      <c r="U67" s="308">
        <v>4077.4629</v>
      </c>
      <c r="V67" s="308">
        <v>4077.4629</v>
      </c>
      <c r="W67" s="308">
        <v>4077.4629</v>
      </c>
      <c r="X67" s="308">
        <v>4077.4629</v>
      </c>
      <c r="Y67" s="308">
        <v>4077.4629</v>
      </c>
      <c r="Z67" s="308">
        <v>4077.4629</v>
      </c>
      <c r="AA67" s="308">
        <v>4077.4629</v>
      </c>
      <c r="AB67" s="308">
        <v>4077.4629</v>
      </c>
      <c r="AC67" s="308">
        <v>4077.4629</v>
      </c>
      <c r="AD67" s="308">
        <v>4077.4629</v>
      </c>
      <c r="AE67" s="308">
        <v>4077.4629</v>
      </c>
      <c r="AF67" s="308">
        <v>4077.4629</v>
      </c>
      <c r="AG67" s="308">
        <v>4525.983819</v>
      </c>
      <c r="AH67" s="308">
        <v>4525.983819</v>
      </c>
      <c r="AI67" s="308">
        <v>4525.983819</v>
      </c>
      <c r="AJ67" s="308">
        <v>4525.983819</v>
      </c>
      <c r="AK67" s="308">
        <v>4525.983819</v>
      </c>
      <c r="AL67" s="308">
        <v>4525.983819</v>
      </c>
      <c r="AM67" s="308">
        <v>4525.983819</v>
      </c>
      <c r="AN67" s="308">
        <v>4525.983819</v>
      </c>
      <c r="AO67" s="308">
        <v>4525.983819</v>
      </c>
      <c r="AP67" s="308">
        <v>4525.983819</v>
      </c>
      <c r="AQ67" s="308">
        <v>4525.983819</v>
      </c>
      <c r="AR67" s="308">
        <v>4525.983819</v>
      </c>
      <c r="AS67" s="308">
        <v>5023.8420390900001</v>
      </c>
      <c r="AT67" s="308">
        <v>5023.8420390900001</v>
      </c>
      <c r="AU67" s="308">
        <v>5023.8420390900001</v>
      </c>
      <c r="AV67" s="308">
        <v>5023.8420390900001</v>
      </c>
      <c r="AW67" s="308">
        <v>5023.8420390900001</v>
      </c>
      <c r="AX67" s="308">
        <v>5023.8420390900001</v>
      </c>
      <c r="AY67" s="308">
        <v>5023.8420390900001</v>
      </c>
    </row>
    <row r="68" spans="3:51">
      <c r="C68" s="287">
        <v>335840</v>
      </c>
      <c r="D68" t="s">
        <v>344</v>
      </c>
      <c r="E68" t="s">
        <v>353</v>
      </c>
      <c r="F68">
        <v>319</v>
      </c>
      <c r="G68" t="s">
        <v>311</v>
      </c>
      <c r="H68" s="288">
        <v>75076836000179</v>
      </c>
      <c r="I68" t="s">
        <v>435</v>
      </c>
      <c r="J68" t="s">
        <v>443</v>
      </c>
      <c r="K68" s="289">
        <v>425727</v>
      </c>
      <c r="L68" s="290">
        <v>43966</v>
      </c>
      <c r="M68" s="290">
        <v>45791</v>
      </c>
      <c r="N68">
        <v>1825</v>
      </c>
      <c r="O68" s="291" t="s">
        <v>334</v>
      </c>
      <c r="P68" t="s">
        <v>349</v>
      </c>
      <c r="Q68" s="292">
        <v>89170.939999999988</v>
      </c>
      <c r="R68" s="292">
        <v>21286.350000000002</v>
      </c>
      <c r="S68" s="310">
        <v>9380.0772000000015</v>
      </c>
      <c r="T68" s="292">
        <v>9380.0772000000015</v>
      </c>
      <c r="U68" s="292">
        <v>9380.0772000000015</v>
      </c>
      <c r="V68" s="292">
        <v>9380.0772000000015</v>
      </c>
      <c r="W68" s="292">
        <v>9380.0772000000015</v>
      </c>
      <c r="X68" s="292">
        <v>9380.0772000000015</v>
      </c>
      <c r="Y68" s="292">
        <v>9380.0772000000015</v>
      </c>
      <c r="Z68" s="292">
        <v>9380.0772000000015</v>
      </c>
      <c r="AA68" s="292">
        <v>9380.0772000000015</v>
      </c>
      <c r="AB68" s="292">
        <v>9380.0772000000015</v>
      </c>
      <c r="AC68" s="292">
        <v>9380.0772000000015</v>
      </c>
      <c r="AD68" s="292">
        <v>9380.0772000000015</v>
      </c>
      <c r="AE68" s="292">
        <v>10411.885692000003</v>
      </c>
      <c r="AF68" s="292">
        <v>10411.885692000003</v>
      </c>
      <c r="AG68" s="292">
        <v>10411.885692000003</v>
      </c>
      <c r="AH68" s="292">
        <v>10411.885692000003</v>
      </c>
      <c r="AI68" s="292">
        <v>10411.885692000003</v>
      </c>
      <c r="AJ68" s="292">
        <v>10411.885692000003</v>
      </c>
      <c r="AK68" s="292">
        <v>10411.885692000003</v>
      </c>
      <c r="AL68" s="292">
        <v>10411.885692000003</v>
      </c>
      <c r="AM68" s="292">
        <v>10411.885692000003</v>
      </c>
      <c r="AN68" s="292">
        <v>10411.885692000003</v>
      </c>
      <c r="AO68" s="292">
        <v>10411.885692000003</v>
      </c>
      <c r="AP68" s="292">
        <v>10411.885692000003</v>
      </c>
      <c r="AQ68" s="292">
        <v>11557.193118120005</v>
      </c>
      <c r="AR68" s="292">
        <v>11557.193118120005</v>
      </c>
      <c r="AS68" s="292">
        <v>11557.193118120005</v>
      </c>
      <c r="AT68" s="292">
        <v>11557.193118120005</v>
      </c>
      <c r="AU68" s="292">
        <v>11557.193118120005</v>
      </c>
      <c r="AV68" s="292">
        <v>11557.193118120005</v>
      </c>
      <c r="AW68" s="292">
        <v>11557.193118120005</v>
      </c>
      <c r="AX68" s="292">
        <v>11557.193118120005</v>
      </c>
      <c r="AY68" s="292">
        <v>11557.193118120005</v>
      </c>
    </row>
    <row r="69" spans="3:51">
      <c r="C69" s="320">
        <v>42887</v>
      </c>
      <c r="D69" t="s">
        <v>440</v>
      </c>
      <c r="E69" t="s">
        <v>359</v>
      </c>
      <c r="F69">
        <v>319</v>
      </c>
      <c r="G69" t="s">
        <v>311</v>
      </c>
      <c r="H69" s="288">
        <v>75076836000179</v>
      </c>
      <c r="I69" t="s">
        <v>435</v>
      </c>
      <c r="J69" t="s">
        <v>444</v>
      </c>
      <c r="K69" s="289">
        <v>151092.32</v>
      </c>
      <c r="L69" s="290">
        <v>42887</v>
      </c>
      <c r="M69" s="290">
        <v>44712</v>
      </c>
      <c r="N69">
        <v>1825</v>
      </c>
      <c r="O69" s="291" t="s">
        <v>334</v>
      </c>
      <c r="P69" t="s">
        <v>349</v>
      </c>
      <c r="Q69" s="292">
        <v>0</v>
      </c>
      <c r="R69" s="292">
        <v>0</v>
      </c>
      <c r="S69" s="323">
        <v>3294.7464</v>
      </c>
      <c r="T69" s="292">
        <v>3294.7464</v>
      </c>
      <c r="U69" s="308">
        <v>3294.7464</v>
      </c>
      <c r="V69" s="308">
        <v>3294.7464</v>
      </c>
      <c r="W69" s="308">
        <v>3294.7464</v>
      </c>
      <c r="X69" s="308">
        <v>3294.7464</v>
      </c>
      <c r="Y69" s="308">
        <v>3294.7464</v>
      </c>
      <c r="Z69" s="308">
        <v>3294.7464</v>
      </c>
      <c r="AA69" s="308">
        <v>3294.7464</v>
      </c>
      <c r="AB69" s="308">
        <v>3294.7464</v>
      </c>
      <c r="AC69" s="308">
        <v>3294.7464</v>
      </c>
      <c r="AD69" s="308">
        <v>3294.7464</v>
      </c>
      <c r="AE69" s="308">
        <v>3657.1685040000002</v>
      </c>
      <c r="AF69" s="308">
        <v>3657.1685040000002</v>
      </c>
      <c r="AG69" s="308">
        <v>3657.1685040000002</v>
      </c>
      <c r="AH69" s="308">
        <v>3657.1685040000002</v>
      </c>
      <c r="AI69" s="308">
        <v>3657.1685040000002</v>
      </c>
      <c r="AJ69" s="308">
        <v>3657.1685040000002</v>
      </c>
      <c r="AK69" s="308">
        <v>3657.1685040000002</v>
      </c>
      <c r="AL69" s="308">
        <v>3657.1685040000002</v>
      </c>
      <c r="AM69" s="308">
        <v>3657.1685040000002</v>
      </c>
      <c r="AN69" s="308">
        <v>3657.1685040000002</v>
      </c>
      <c r="AO69" s="308">
        <v>3657.1685040000002</v>
      </c>
      <c r="AP69" s="308">
        <v>3657.1685040000002</v>
      </c>
      <c r="AQ69" s="308">
        <v>4059.4570394400007</v>
      </c>
      <c r="AR69" s="308">
        <v>4059.4570394400007</v>
      </c>
      <c r="AS69" s="308">
        <v>4059.4570394400007</v>
      </c>
      <c r="AT69" s="308">
        <v>4059.4570394400007</v>
      </c>
      <c r="AU69" s="308">
        <v>4059.4570394400007</v>
      </c>
      <c r="AV69" s="308">
        <v>4059.4570394400007</v>
      </c>
      <c r="AW69" s="308">
        <v>4059.4570394400007</v>
      </c>
      <c r="AX69" s="308">
        <v>4059.4570394400007</v>
      </c>
      <c r="AY69" s="308">
        <v>4059.4570394400007</v>
      </c>
    </row>
    <row r="70" spans="3:51">
      <c r="C70" s="287" t="s">
        <v>445</v>
      </c>
      <c r="D70" t="s">
        <v>434</v>
      </c>
      <c r="E70" t="s">
        <v>359</v>
      </c>
      <c r="F70">
        <v>319</v>
      </c>
      <c r="G70" t="s">
        <v>311</v>
      </c>
      <c r="H70" s="288">
        <v>75076836000179</v>
      </c>
      <c r="I70" t="s">
        <v>435</v>
      </c>
      <c r="J70" t="s">
        <v>446</v>
      </c>
      <c r="K70" s="289">
        <v>153296.4</v>
      </c>
      <c r="L70" s="290">
        <v>43405</v>
      </c>
      <c r="M70" s="290">
        <v>45230</v>
      </c>
      <c r="N70">
        <v>1825</v>
      </c>
      <c r="O70" s="291" t="s">
        <v>334</v>
      </c>
      <c r="P70" t="s">
        <v>349</v>
      </c>
      <c r="Q70" s="292">
        <v>32292.200000000004</v>
      </c>
      <c r="R70" s="292">
        <v>10321.200000000001</v>
      </c>
      <c r="S70" s="292">
        <v>3818.8440000000005</v>
      </c>
      <c r="T70" s="292">
        <v>3818.8440000000005</v>
      </c>
      <c r="U70" s="292">
        <v>3818.8440000000005</v>
      </c>
      <c r="V70" s="292">
        <v>3818.8440000000005</v>
      </c>
      <c r="W70" s="292">
        <v>3818.8440000000005</v>
      </c>
      <c r="X70" s="292">
        <v>3818.8440000000005</v>
      </c>
      <c r="Y70" s="292">
        <v>3818.8440000000005</v>
      </c>
      <c r="Z70" s="292">
        <v>3818.8440000000005</v>
      </c>
      <c r="AA70" s="292">
        <v>3818.8440000000005</v>
      </c>
      <c r="AB70" s="292">
        <v>3818.8440000000005</v>
      </c>
      <c r="AC70" s="292">
        <v>3818.8440000000005</v>
      </c>
      <c r="AD70" s="292">
        <v>3818.8440000000005</v>
      </c>
      <c r="AE70" s="292">
        <v>4238.9168400000008</v>
      </c>
      <c r="AF70" s="292">
        <v>4238.9168400000008</v>
      </c>
      <c r="AG70" s="292">
        <v>4238.9168400000008</v>
      </c>
      <c r="AH70" s="292">
        <v>4238.9168400000008</v>
      </c>
      <c r="AI70" s="292">
        <v>4238.9168400000008</v>
      </c>
      <c r="AJ70" s="292">
        <v>4238.9168400000008</v>
      </c>
      <c r="AK70" s="292">
        <v>4238.9168400000008</v>
      </c>
      <c r="AL70" s="308">
        <v>4238.9168400000008</v>
      </c>
      <c r="AM70" s="308">
        <v>4238.9168400000008</v>
      </c>
      <c r="AN70" s="308">
        <v>4238.9168400000008</v>
      </c>
      <c r="AO70" s="308">
        <v>4238.9168400000008</v>
      </c>
      <c r="AP70" s="308">
        <v>4238.9168400000008</v>
      </c>
      <c r="AQ70" s="308">
        <v>4705.197692400001</v>
      </c>
      <c r="AR70" s="308">
        <v>4705.197692400001</v>
      </c>
      <c r="AS70" s="308">
        <v>4705.197692400001</v>
      </c>
      <c r="AT70" s="308">
        <v>4705.197692400001</v>
      </c>
      <c r="AU70" s="308">
        <v>4705.197692400001</v>
      </c>
      <c r="AV70" s="308">
        <v>4705.197692400001</v>
      </c>
      <c r="AW70" s="308">
        <v>4705.197692400001</v>
      </c>
      <c r="AX70" s="308">
        <v>4705.197692400001</v>
      </c>
      <c r="AY70" s="308">
        <v>4705.197692400001</v>
      </c>
    </row>
    <row r="71" spans="3:51">
      <c r="C71" s="287" t="s">
        <v>447</v>
      </c>
      <c r="D71" t="s">
        <v>440</v>
      </c>
      <c r="E71" t="s">
        <v>353</v>
      </c>
      <c r="F71">
        <v>319</v>
      </c>
      <c r="G71" t="s">
        <v>311</v>
      </c>
      <c r="H71" s="288">
        <v>75076836000179</v>
      </c>
      <c r="I71" t="s">
        <v>435</v>
      </c>
      <c r="J71" t="s">
        <v>448</v>
      </c>
      <c r="K71" s="289">
        <v>182395.8</v>
      </c>
      <c r="L71" s="290">
        <v>43013</v>
      </c>
      <c r="M71" s="290">
        <v>44838</v>
      </c>
      <c r="N71">
        <v>1825</v>
      </c>
      <c r="O71" s="291" t="s">
        <v>334</v>
      </c>
      <c r="P71" t="s">
        <v>349</v>
      </c>
      <c r="Q71" s="292">
        <v>34719.230000000003</v>
      </c>
      <c r="R71" s="292">
        <v>10767.15</v>
      </c>
      <c r="S71" s="324">
        <v>4387.3527000000004</v>
      </c>
      <c r="T71" s="292">
        <v>4387.3527000000004</v>
      </c>
      <c r="U71" s="292">
        <v>4387.3527000000004</v>
      </c>
      <c r="V71" s="292">
        <v>4387.3527000000004</v>
      </c>
      <c r="W71" s="292">
        <v>4387.3527000000004</v>
      </c>
      <c r="X71" s="292">
        <v>4387.3527000000004</v>
      </c>
      <c r="Y71" s="292">
        <v>4387.3527000000004</v>
      </c>
      <c r="Z71" s="308">
        <v>4387.3527000000004</v>
      </c>
      <c r="AA71" s="308">
        <v>4387.3527000000004</v>
      </c>
      <c r="AB71" s="308">
        <v>4387.3527000000004</v>
      </c>
      <c r="AC71" s="308">
        <v>4387.3527000000004</v>
      </c>
      <c r="AD71" s="308">
        <v>4387.3527000000004</v>
      </c>
      <c r="AE71" s="308">
        <v>4869.9614970000011</v>
      </c>
      <c r="AF71" s="308">
        <v>4869.9614970000011</v>
      </c>
      <c r="AG71" s="308">
        <v>4869.9614970000011</v>
      </c>
      <c r="AH71" s="308">
        <v>4869.9614970000011</v>
      </c>
      <c r="AI71" s="308">
        <v>4869.9614970000011</v>
      </c>
      <c r="AJ71" s="308">
        <v>4869.9614970000011</v>
      </c>
      <c r="AK71" s="308">
        <v>4869.9614970000011</v>
      </c>
      <c r="AL71" s="308">
        <v>4869.9614970000011</v>
      </c>
      <c r="AM71" s="308">
        <v>4869.9614970000011</v>
      </c>
      <c r="AN71" s="308">
        <v>4869.9614970000011</v>
      </c>
      <c r="AO71" s="308">
        <v>4869.9614970000011</v>
      </c>
      <c r="AP71" s="308">
        <v>4869.9614970000011</v>
      </c>
      <c r="AQ71" s="308">
        <v>5405.6572616700014</v>
      </c>
      <c r="AR71" s="308">
        <v>5405.6572616700014</v>
      </c>
      <c r="AS71" s="308">
        <v>5405.6572616700014</v>
      </c>
      <c r="AT71" s="308">
        <v>5405.6572616700014</v>
      </c>
      <c r="AU71" s="308">
        <v>5405.6572616700014</v>
      </c>
      <c r="AV71" s="308">
        <v>5405.6572616700014</v>
      </c>
      <c r="AW71" s="308">
        <v>5405.6572616700014</v>
      </c>
      <c r="AX71" s="308">
        <v>5405.6572616700014</v>
      </c>
      <c r="AY71" s="308">
        <v>5405.6572616700014</v>
      </c>
    </row>
    <row r="72" spans="3:51">
      <c r="C72" s="287">
        <v>348496</v>
      </c>
      <c r="D72" t="s">
        <v>344</v>
      </c>
      <c r="E72" t="s">
        <v>353</v>
      </c>
      <c r="F72">
        <v>319</v>
      </c>
      <c r="G72" t="s">
        <v>311</v>
      </c>
      <c r="H72" s="288">
        <v>75076836000179</v>
      </c>
      <c r="I72" t="s">
        <v>435</v>
      </c>
      <c r="J72" t="s">
        <v>449</v>
      </c>
      <c r="K72" s="289">
        <v>84606.6</v>
      </c>
      <c r="L72" s="290">
        <v>44320</v>
      </c>
      <c r="M72" s="290">
        <v>46145</v>
      </c>
      <c r="N72">
        <v>1825</v>
      </c>
      <c r="O72" s="291" t="s">
        <v>334</v>
      </c>
      <c r="P72" t="s">
        <v>349</v>
      </c>
      <c r="Q72" s="292">
        <v>10538.01</v>
      </c>
      <c r="R72" s="292">
        <v>4516.29</v>
      </c>
      <c r="S72" s="292">
        <v>1410.11</v>
      </c>
      <c r="T72" s="292">
        <v>1410.11</v>
      </c>
      <c r="U72" s="292">
        <v>1565.2221</v>
      </c>
      <c r="V72" s="292">
        <v>1565.2221</v>
      </c>
      <c r="W72" s="292">
        <v>1565.2221</v>
      </c>
      <c r="X72" s="292">
        <v>1565.2221</v>
      </c>
      <c r="Y72" s="292">
        <v>1565.2221</v>
      </c>
      <c r="Z72" s="292">
        <v>1565.2221</v>
      </c>
      <c r="AA72" s="292">
        <v>1565.2221</v>
      </c>
      <c r="AB72" s="292">
        <v>1565.2221</v>
      </c>
      <c r="AC72" s="292">
        <v>1565.2221</v>
      </c>
      <c r="AD72" s="292">
        <v>1565.2221</v>
      </c>
      <c r="AE72" s="292">
        <v>1565.2221</v>
      </c>
      <c r="AF72" s="292">
        <v>1565.2221</v>
      </c>
      <c r="AG72" s="292">
        <v>1737.3965310000001</v>
      </c>
      <c r="AH72" s="292">
        <v>1737.3965310000001</v>
      </c>
      <c r="AI72" s="292">
        <v>1737.3965310000001</v>
      </c>
      <c r="AJ72" s="292">
        <v>1737.3965310000001</v>
      </c>
      <c r="AK72" s="292">
        <v>1737.3965310000001</v>
      </c>
      <c r="AL72" s="292">
        <v>1737.3965310000001</v>
      </c>
      <c r="AM72" s="292">
        <v>1737.3965310000001</v>
      </c>
      <c r="AN72" s="292">
        <v>1737.3965310000001</v>
      </c>
      <c r="AO72" s="292">
        <v>1737.3965310000001</v>
      </c>
      <c r="AP72" s="292">
        <v>1737.3965310000001</v>
      </c>
      <c r="AQ72" s="292">
        <v>1737.3965310000001</v>
      </c>
      <c r="AR72" s="292">
        <v>1737.3965310000001</v>
      </c>
      <c r="AS72" s="292">
        <v>1928.5101494100002</v>
      </c>
      <c r="AT72" s="292">
        <v>1928.5101494100002</v>
      </c>
      <c r="AU72" s="292">
        <v>1928.5101494100002</v>
      </c>
      <c r="AV72" s="292">
        <v>1928.5101494100002</v>
      </c>
      <c r="AW72" s="292">
        <v>1928.5101494100002</v>
      </c>
      <c r="AX72" s="292">
        <v>1928.5101494100002</v>
      </c>
      <c r="AY72" s="292">
        <v>1928.5101494100002</v>
      </c>
    </row>
    <row r="73" spans="3:51">
      <c r="C73" s="287">
        <v>360123</v>
      </c>
      <c r="D73" t="s">
        <v>344</v>
      </c>
      <c r="E73" t="s">
        <v>384</v>
      </c>
      <c r="F73">
        <v>319</v>
      </c>
      <c r="G73" t="s">
        <v>311</v>
      </c>
      <c r="H73" s="288">
        <v>75076836000179</v>
      </c>
      <c r="I73" t="s">
        <v>435</v>
      </c>
      <c r="J73" t="s">
        <v>450</v>
      </c>
      <c r="K73" s="289">
        <v>4408.32</v>
      </c>
      <c r="L73" s="290">
        <v>44474</v>
      </c>
      <c r="M73" s="290">
        <v>44838</v>
      </c>
      <c r="N73">
        <v>364</v>
      </c>
      <c r="O73" s="291" t="s">
        <v>334</v>
      </c>
      <c r="P73" t="s">
        <v>349</v>
      </c>
      <c r="Q73" s="292">
        <v>0</v>
      </c>
      <c r="R73" s="292">
        <v>0</v>
      </c>
      <c r="S73" s="292">
        <v>4387.3527000000004</v>
      </c>
      <c r="T73" s="292">
        <v>4387.3527000000004</v>
      </c>
      <c r="U73" s="292">
        <v>4387.3527000000004</v>
      </c>
      <c r="V73" s="292">
        <v>4387.3527000000004</v>
      </c>
      <c r="W73" s="292">
        <v>4387.3527000000004</v>
      </c>
      <c r="X73" s="292">
        <v>4387.3527000000004</v>
      </c>
      <c r="Y73" s="292">
        <v>4387.3527000000004</v>
      </c>
      <c r="Z73" s="308">
        <v>4387.3527000000004</v>
      </c>
      <c r="AA73" s="308">
        <v>4387.3527000000004</v>
      </c>
      <c r="AB73" s="308">
        <v>4387.3527000000004</v>
      </c>
      <c r="AC73" s="308">
        <v>4387.3527000000004</v>
      </c>
      <c r="AD73" s="308">
        <v>4387.3527000000004</v>
      </c>
      <c r="AE73" s="308">
        <v>4869.9614970000011</v>
      </c>
      <c r="AF73" s="308">
        <v>4869.9614970000011</v>
      </c>
      <c r="AG73" s="308">
        <v>4869.9614970000011</v>
      </c>
      <c r="AH73" s="308">
        <v>4869.9614970000011</v>
      </c>
      <c r="AI73" s="308">
        <v>4869.9614970000011</v>
      </c>
      <c r="AJ73" s="308">
        <v>4869.9614970000011</v>
      </c>
      <c r="AK73" s="308">
        <v>4869.9614970000011</v>
      </c>
      <c r="AL73" s="308">
        <v>4869.9614970000011</v>
      </c>
      <c r="AM73" s="308">
        <v>4869.9614970000011</v>
      </c>
      <c r="AN73" s="308">
        <v>4869.9614970000011</v>
      </c>
      <c r="AO73" s="308">
        <v>4869.9614970000011</v>
      </c>
      <c r="AP73" s="308">
        <v>4869.9614970000011</v>
      </c>
      <c r="AQ73" s="308">
        <v>5405.6572616700014</v>
      </c>
      <c r="AR73" s="308">
        <v>5405.6572616700014</v>
      </c>
      <c r="AS73" s="308">
        <v>5405.6572616700014</v>
      </c>
      <c r="AT73" s="308">
        <v>5405.6572616700014</v>
      </c>
      <c r="AU73" s="308">
        <v>5405.6572616700014</v>
      </c>
      <c r="AV73" s="308">
        <v>5405.6572616700014</v>
      </c>
      <c r="AW73" s="308">
        <v>5405.6572616700014</v>
      </c>
      <c r="AX73" s="308">
        <v>5405.6572616700014</v>
      </c>
      <c r="AY73" s="308">
        <v>5405.6572616700014</v>
      </c>
    </row>
    <row r="74" spans="3:51">
      <c r="C74" s="287">
        <v>351088</v>
      </c>
      <c r="D74" t="s">
        <v>344</v>
      </c>
      <c r="E74" t="s">
        <v>353</v>
      </c>
      <c r="F74">
        <v>319</v>
      </c>
      <c r="G74" t="s">
        <v>311</v>
      </c>
      <c r="H74" s="302">
        <v>75076836000179</v>
      </c>
      <c r="I74" t="s">
        <v>435</v>
      </c>
      <c r="J74" t="s">
        <v>451</v>
      </c>
      <c r="K74" s="289">
        <v>30396.48</v>
      </c>
      <c r="L74" s="290">
        <v>44348</v>
      </c>
      <c r="M74" s="290">
        <v>44712</v>
      </c>
      <c r="N74">
        <v>364</v>
      </c>
      <c r="O74" s="291" t="s">
        <v>334</v>
      </c>
      <c r="P74" t="s">
        <v>349</v>
      </c>
      <c r="Q74" s="292">
        <v>17731.210000000003</v>
      </c>
      <c r="R74" s="292">
        <v>7599.09</v>
      </c>
      <c r="S74" s="292">
        <v>2811.6744000000003</v>
      </c>
      <c r="T74" s="292">
        <v>2811.6744000000003</v>
      </c>
      <c r="U74" s="308">
        <v>2811.6744000000003</v>
      </c>
      <c r="V74" s="308">
        <v>2811.6744000000003</v>
      </c>
      <c r="W74" s="308">
        <v>2811.6744000000003</v>
      </c>
      <c r="X74" s="308">
        <v>2811.6744000000003</v>
      </c>
      <c r="Y74" s="308">
        <v>2811.6744000000003</v>
      </c>
      <c r="Z74" s="308">
        <v>2811.6744000000003</v>
      </c>
      <c r="AA74" s="308">
        <v>2811.6744000000003</v>
      </c>
      <c r="AB74" s="308">
        <v>2811.6744000000003</v>
      </c>
      <c r="AC74" s="308">
        <v>2811.6744000000003</v>
      </c>
      <c r="AD74" s="308">
        <v>2811.6744000000003</v>
      </c>
      <c r="AE74" s="308">
        <v>3120.9585840000004</v>
      </c>
      <c r="AF74" s="308">
        <v>3120.9585840000004</v>
      </c>
      <c r="AG74" s="308">
        <v>3120.9585840000004</v>
      </c>
      <c r="AH74" s="308">
        <v>3120.9585840000004</v>
      </c>
      <c r="AI74" s="308">
        <v>3120.9585840000004</v>
      </c>
      <c r="AJ74" s="308">
        <v>3120.9585840000004</v>
      </c>
      <c r="AK74" s="308">
        <v>3120.9585840000004</v>
      </c>
      <c r="AL74" s="308">
        <v>3120.9585840000004</v>
      </c>
      <c r="AM74" s="308">
        <v>3120.9585840000004</v>
      </c>
      <c r="AN74" s="308">
        <v>3120.9585840000004</v>
      </c>
      <c r="AO74" s="308">
        <v>3120.9585840000004</v>
      </c>
      <c r="AP74" s="308">
        <v>3120.9585840000004</v>
      </c>
      <c r="AQ74" s="308">
        <v>3464.2640282400007</v>
      </c>
      <c r="AR74" s="308">
        <v>3464.2640282400007</v>
      </c>
      <c r="AS74" s="308">
        <v>3464.2640282400007</v>
      </c>
      <c r="AT74" s="308">
        <v>3464.2640282400007</v>
      </c>
      <c r="AU74" s="308">
        <v>3464.2640282400007</v>
      </c>
      <c r="AV74" s="308">
        <v>3464.2640282400007</v>
      </c>
      <c r="AW74" s="308">
        <v>3464.2640282400007</v>
      </c>
      <c r="AX74" s="308">
        <v>3464.2640282400007</v>
      </c>
      <c r="AY74" s="308">
        <v>3464.2640282400007</v>
      </c>
    </row>
    <row r="75" spans="3:51">
      <c r="C75" s="287">
        <v>348551</v>
      </c>
      <c r="D75" t="s">
        <v>344</v>
      </c>
      <c r="E75" t="s">
        <v>384</v>
      </c>
      <c r="F75">
        <v>319</v>
      </c>
      <c r="G75" t="s">
        <v>311</v>
      </c>
      <c r="H75" s="288">
        <v>75076836000179</v>
      </c>
      <c r="I75" t="s">
        <v>435</v>
      </c>
      <c r="J75" t="s">
        <v>452</v>
      </c>
      <c r="K75" s="289">
        <v>11711.04</v>
      </c>
      <c r="L75" s="290">
        <v>43873</v>
      </c>
      <c r="M75" s="290">
        <v>45333</v>
      </c>
      <c r="N75">
        <v>1460</v>
      </c>
      <c r="O75" s="291" t="s">
        <v>334</v>
      </c>
      <c r="P75" t="s">
        <v>349</v>
      </c>
      <c r="Q75" s="292">
        <v>7289.52</v>
      </c>
      <c r="R75" s="292">
        <v>516.88</v>
      </c>
      <c r="S75" s="323">
        <v>4308.2763000000004</v>
      </c>
      <c r="T75" s="292">
        <v>4308.2763000000004</v>
      </c>
      <c r="U75" s="292">
        <v>4308.2763000000004</v>
      </c>
      <c r="V75" s="292">
        <v>4308.2763000000004</v>
      </c>
      <c r="W75" s="292">
        <v>4308.2763000000004</v>
      </c>
      <c r="X75" s="292">
        <v>4308.2763000000004</v>
      </c>
      <c r="Y75" s="292">
        <v>4308.2763000000004</v>
      </c>
      <c r="Z75" s="292">
        <v>4308.2763000000004</v>
      </c>
      <c r="AA75" s="292">
        <v>4308.2763000000004</v>
      </c>
      <c r="AB75" s="292">
        <v>4308.2763000000004</v>
      </c>
      <c r="AC75" s="292">
        <v>4308.2763000000004</v>
      </c>
      <c r="AD75" s="292">
        <v>4308.2763000000004</v>
      </c>
      <c r="AE75" s="292">
        <v>4782.1866930000006</v>
      </c>
      <c r="AF75" s="292">
        <v>4782.1866930000006</v>
      </c>
      <c r="AG75" s="292">
        <v>4782.1866930000006</v>
      </c>
      <c r="AH75" s="292">
        <v>4782.1866930000006</v>
      </c>
      <c r="AI75" s="292">
        <v>4782.1866930000006</v>
      </c>
      <c r="AJ75" s="292">
        <v>4782.1866930000006</v>
      </c>
      <c r="AK75" s="292">
        <v>4782.1866930000006</v>
      </c>
      <c r="AL75" s="292">
        <v>4782.1866930000006</v>
      </c>
      <c r="AM75" s="292">
        <v>4782.1866930000006</v>
      </c>
      <c r="AN75" s="292">
        <v>4782.1866930000006</v>
      </c>
      <c r="AO75" s="292">
        <v>4782.1866930000006</v>
      </c>
      <c r="AP75" s="308">
        <v>4782.1866930000006</v>
      </c>
      <c r="AQ75" s="308">
        <v>5308.2272292300013</v>
      </c>
      <c r="AR75" s="308">
        <v>5308.2272292300013</v>
      </c>
      <c r="AS75" s="308">
        <v>5308.2272292300013</v>
      </c>
      <c r="AT75" s="308">
        <v>5308.2272292300013</v>
      </c>
      <c r="AU75" s="308">
        <v>5308.2272292300013</v>
      </c>
      <c r="AV75" s="308">
        <v>5308.2272292300013</v>
      </c>
      <c r="AW75" s="308">
        <v>5308.2272292300013</v>
      </c>
      <c r="AX75" s="308">
        <v>5308.2272292300013</v>
      </c>
      <c r="AY75" s="308">
        <v>5308.2272292300013</v>
      </c>
    </row>
    <row r="76" spans="3:51">
      <c r="C76" s="287" t="s">
        <v>453</v>
      </c>
      <c r="D76" t="s">
        <v>406</v>
      </c>
      <c r="E76" t="s">
        <v>359</v>
      </c>
      <c r="F76">
        <v>319</v>
      </c>
      <c r="G76" t="s">
        <v>454</v>
      </c>
      <c r="H76" s="288">
        <v>70029946972</v>
      </c>
      <c r="I76" t="s">
        <v>455</v>
      </c>
      <c r="J76" t="s">
        <v>456</v>
      </c>
      <c r="K76" s="289">
        <v>24000</v>
      </c>
      <c r="L76" s="290">
        <v>43040</v>
      </c>
      <c r="M76" s="290">
        <v>44865</v>
      </c>
      <c r="N76">
        <v>1825</v>
      </c>
      <c r="O76" s="291" t="s">
        <v>334</v>
      </c>
      <c r="P76" t="s">
        <v>349</v>
      </c>
      <c r="Q76" s="292">
        <v>0</v>
      </c>
      <c r="R76" s="292">
        <v>0</v>
      </c>
      <c r="S76" s="292">
        <v>0</v>
      </c>
      <c r="T76" s="292">
        <v>0</v>
      </c>
      <c r="U76" s="292">
        <v>0</v>
      </c>
      <c r="V76" s="292">
        <v>0</v>
      </c>
      <c r="W76" s="292">
        <v>0</v>
      </c>
      <c r="X76" s="292">
        <v>0</v>
      </c>
      <c r="Y76" s="292">
        <v>0</v>
      </c>
      <c r="Z76" s="308">
        <v>0</v>
      </c>
      <c r="AA76" s="308">
        <v>0</v>
      </c>
      <c r="AB76" s="308">
        <v>0</v>
      </c>
      <c r="AC76" s="308">
        <v>0</v>
      </c>
      <c r="AD76" s="308">
        <v>0</v>
      </c>
      <c r="AE76" s="308">
        <v>0</v>
      </c>
      <c r="AF76" s="308">
        <v>0</v>
      </c>
      <c r="AG76" s="308">
        <v>0</v>
      </c>
      <c r="AH76" s="308">
        <v>0</v>
      </c>
      <c r="AI76" s="308">
        <v>0</v>
      </c>
      <c r="AJ76" s="308">
        <v>0</v>
      </c>
      <c r="AK76" s="308">
        <v>0</v>
      </c>
      <c r="AL76" s="308">
        <v>0</v>
      </c>
      <c r="AM76" s="308">
        <v>0</v>
      </c>
      <c r="AN76" s="308">
        <v>0</v>
      </c>
      <c r="AO76" s="308">
        <v>0</v>
      </c>
      <c r="AP76" s="308">
        <v>0</v>
      </c>
      <c r="AQ76" s="308">
        <v>0</v>
      </c>
      <c r="AR76" s="308">
        <v>0</v>
      </c>
      <c r="AS76" s="308">
        <v>0</v>
      </c>
      <c r="AT76" s="308">
        <v>0</v>
      </c>
      <c r="AU76" s="308">
        <v>0</v>
      </c>
      <c r="AV76" s="308">
        <v>0</v>
      </c>
      <c r="AW76" s="308">
        <v>0</v>
      </c>
      <c r="AX76" s="308">
        <v>0</v>
      </c>
      <c r="AY76" s="308">
        <v>0</v>
      </c>
    </row>
    <row r="77" spans="3:51">
      <c r="C77" s="287">
        <v>360122</v>
      </c>
      <c r="D77" t="s">
        <v>344</v>
      </c>
      <c r="E77" t="s">
        <v>353</v>
      </c>
      <c r="F77">
        <v>319</v>
      </c>
      <c r="G77" t="s">
        <v>457</v>
      </c>
      <c r="H77" s="288">
        <v>43152791968</v>
      </c>
      <c r="I77" t="s">
        <v>458</v>
      </c>
      <c r="J77" t="s">
        <v>459</v>
      </c>
      <c r="K77" s="289">
        <v>7920</v>
      </c>
      <c r="L77" s="290">
        <v>44593</v>
      </c>
      <c r="M77" s="290">
        <v>44957</v>
      </c>
      <c r="N77">
        <v>364</v>
      </c>
      <c r="O77" s="291" t="s">
        <v>334</v>
      </c>
      <c r="P77" t="s">
        <v>349</v>
      </c>
      <c r="Q77" s="292">
        <v>0</v>
      </c>
      <c r="R77" s="292">
        <v>660</v>
      </c>
      <c r="S77" s="292">
        <v>660</v>
      </c>
      <c r="T77" s="292">
        <v>660</v>
      </c>
      <c r="U77" s="292">
        <v>660</v>
      </c>
      <c r="V77" s="292">
        <v>660</v>
      </c>
      <c r="W77" s="292">
        <v>660</v>
      </c>
      <c r="X77" s="292">
        <v>660</v>
      </c>
      <c r="Y77" s="292">
        <v>660</v>
      </c>
      <c r="Z77" s="292">
        <v>660</v>
      </c>
      <c r="AA77" s="292">
        <v>660</v>
      </c>
      <c r="AB77" s="292">
        <v>660</v>
      </c>
      <c r="AC77" s="308">
        <v>732.6</v>
      </c>
      <c r="AD77" s="308">
        <v>732.6</v>
      </c>
      <c r="AE77" s="308">
        <v>732.6</v>
      </c>
      <c r="AF77" s="308">
        <v>732.6</v>
      </c>
      <c r="AG77" s="308">
        <v>732.6</v>
      </c>
      <c r="AH77" s="308">
        <v>732.6</v>
      </c>
      <c r="AI77" s="308">
        <v>732.6</v>
      </c>
      <c r="AJ77" s="308">
        <v>732.6</v>
      </c>
      <c r="AK77" s="308">
        <v>732.6</v>
      </c>
      <c r="AL77" s="308">
        <v>732.6</v>
      </c>
      <c r="AM77" s="308">
        <v>732.6</v>
      </c>
      <c r="AN77" s="308">
        <v>732.6</v>
      </c>
      <c r="AO77" s="308">
        <v>813.18600000000015</v>
      </c>
      <c r="AP77" s="308">
        <v>813.18600000000015</v>
      </c>
      <c r="AQ77" s="308">
        <v>813.18600000000015</v>
      </c>
      <c r="AR77" s="308">
        <v>813.18600000000015</v>
      </c>
      <c r="AS77" s="308">
        <v>813.18600000000015</v>
      </c>
      <c r="AT77" s="308">
        <v>813.18600000000015</v>
      </c>
      <c r="AU77" s="308">
        <v>813.18600000000015</v>
      </c>
      <c r="AV77" s="308">
        <v>813.18600000000015</v>
      </c>
      <c r="AW77" s="308">
        <v>813.18600000000015</v>
      </c>
      <c r="AX77" s="308">
        <v>813.18600000000015</v>
      </c>
      <c r="AY77" s="308">
        <v>813.18600000000015</v>
      </c>
    </row>
    <row r="78" spans="3:51">
      <c r="C78" s="287">
        <v>360220</v>
      </c>
      <c r="D78" t="s">
        <v>344</v>
      </c>
      <c r="E78" t="s">
        <v>353</v>
      </c>
      <c r="F78">
        <v>319</v>
      </c>
      <c r="G78" t="s">
        <v>460</v>
      </c>
      <c r="H78" s="288">
        <v>20256370044</v>
      </c>
      <c r="I78" t="s">
        <v>461</v>
      </c>
      <c r="J78" t="s">
        <v>462</v>
      </c>
      <c r="K78" s="289">
        <v>11010.92</v>
      </c>
      <c r="L78" s="290">
        <v>44576</v>
      </c>
      <c r="M78" s="290">
        <v>44940</v>
      </c>
      <c r="N78">
        <v>364</v>
      </c>
      <c r="O78" s="291" t="s">
        <v>334</v>
      </c>
      <c r="P78" t="s">
        <v>349</v>
      </c>
      <c r="Q78" s="292">
        <v>0</v>
      </c>
      <c r="R78" s="292">
        <v>1751.82</v>
      </c>
      <c r="S78" s="292">
        <v>798.31</v>
      </c>
      <c r="T78" s="292">
        <v>798.31</v>
      </c>
      <c r="U78" s="292">
        <v>798.31</v>
      </c>
      <c r="V78" s="292">
        <v>798.31</v>
      </c>
      <c r="W78" s="292">
        <v>798.31</v>
      </c>
      <c r="X78" s="292">
        <v>798.31</v>
      </c>
      <c r="Y78" s="292">
        <v>798.31</v>
      </c>
      <c r="Z78" s="292">
        <v>798.31</v>
      </c>
      <c r="AA78" s="292">
        <v>798.31</v>
      </c>
      <c r="AB78" s="292">
        <v>798.31</v>
      </c>
      <c r="AC78" s="308">
        <v>886.1241</v>
      </c>
      <c r="AD78" s="308">
        <v>886.1241</v>
      </c>
      <c r="AE78" s="308">
        <v>886.1241</v>
      </c>
      <c r="AF78" s="308">
        <v>886.1241</v>
      </c>
      <c r="AG78" s="308">
        <v>886.1241</v>
      </c>
      <c r="AH78" s="308">
        <v>886.1241</v>
      </c>
      <c r="AI78" s="308">
        <v>886.1241</v>
      </c>
      <c r="AJ78" s="308">
        <v>886.1241</v>
      </c>
      <c r="AK78" s="308">
        <v>886.1241</v>
      </c>
      <c r="AL78" s="308">
        <v>886.1241</v>
      </c>
      <c r="AM78" s="308">
        <v>886.1241</v>
      </c>
      <c r="AN78" s="308">
        <v>886.1241</v>
      </c>
      <c r="AO78" s="308">
        <v>983.59775100000013</v>
      </c>
      <c r="AP78" s="308">
        <v>983.59775100000013</v>
      </c>
      <c r="AQ78" s="308">
        <v>983.59775100000013</v>
      </c>
      <c r="AR78" s="308">
        <v>983.59775100000013</v>
      </c>
      <c r="AS78" s="308">
        <v>983.59775100000013</v>
      </c>
      <c r="AT78" s="308">
        <v>983.59775100000013</v>
      </c>
      <c r="AU78" s="308">
        <v>983.59775100000013</v>
      </c>
      <c r="AV78" s="308">
        <v>983.59775100000013</v>
      </c>
      <c r="AW78" s="308">
        <v>983.59775100000013</v>
      </c>
      <c r="AX78" s="308">
        <v>983.59775100000013</v>
      </c>
      <c r="AY78" s="308">
        <v>983.59775100000013</v>
      </c>
    </row>
    <row r="79" spans="3:51">
      <c r="C79" s="287">
        <v>345985</v>
      </c>
      <c r="D79" t="s">
        <v>344</v>
      </c>
      <c r="E79" t="s">
        <v>345</v>
      </c>
      <c r="F79">
        <v>319</v>
      </c>
      <c r="G79" t="s">
        <v>463</v>
      </c>
      <c r="H79" s="288">
        <v>24055743904</v>
      </c>
      <c r="I79" t="s">
        <v>464</v>
      </c>
      <c r="J79" t="s">
        <v>465</v>
      </c>
      <c r="K79" s="289">
        <v>19200</v>
      </c>
      <c r="L79" s="290">
        <v>44289</v>
      </c>
      <c r="M79" s="290">
        <v>45019</v>
      </c>
      <c r="N79">
        <v>730</v>
      </c>
      <c r="O79" s="291" t="s">
        <v>334</v>
      </c>
      <c r="P79" t="s">
        <v>349</v>
      </c>
      <c r="Q79" s="292">
        <v>6400</v>
      </c>
      <c r="R79" s="292">
        <v>2400</v>
      </c>
      <c r="S79" s="292">
        <v>800</v>
      </c>
      <c r="T79" s="292">
        <v>880</v>
      </c>
      <c r="U79" s="292">
        <v>880</v>
      </c>
      <c r="V79" s="292">
        <v>880</v>
      </c>
      <c r="W79" s="292">
        <v>880</v>
      </c>
      <c r="X79" s="292">
        <v>880</v>
      </c>
      <c r="Y79" s="292">
        <v>880</v>
      </c>
      <c r="Z79" s="292">
        <v>880</v>
      </c>
      <c r="AA79" s="292">
        <v>880</v>
      </c>
      <c r="AB79" s="292">
        <v>880</v>
      </c>
      <c r="AC79" s="292">
        <v>880</v>
      </c>
      <c r="AD79" s="292">
        <v>880</v>
      </c>
      <c r="AE79" s="292">
        <v>880</v>
      </c>
      <c r="AF79" s="308">
        <v>976.80000000000007</v>
      </c>
      <c r="AG79" s="308">
        <v>976.80000000000007</v>
      </c>
      <c r="AH79" s="308">
        <v>976.80000000000007</v>
      </c>
      <c r="AI79" s="308">
        <v>976.80000000000007</v>
      </c>
      <c r="AJ79" s="308">
        <v>976.80000000000007</v>
      </c>
      <c r="AK79" s="308">
        <v>976.80000000000007</v>
      </c>
      <c r="AL79" s="308">
        <v>976.80000000000007</v>
      </c>
      <c r="AM79" s="308">
        <v>976.80000000000007</v>
      </c>
      <c r="AN79" s="308">
        <v>976.80000000000007</v>
      </c>
      <c r="AO79" s="308">
        <v>976.80000000000007</v>
      </c>
      <c r="AP79" s="308">
        <v>976.8</v>
      </c>
      <c r="AQ79" s="308">
        <v>976.8</v>
      </c>
      <c r="AR79" s="308">
        <v>1084.248</v>
      </c>
      <c r="AS79" s="308">
        <v>1084.248</v>
      </c>
      <c r="AT79" s="308">
        <v>1084.248</v>
      </c>
      <c r="AU79" s="308">
        <v>1084.248</v>
      </c>
      <c r="AV79" s="308">
        <v>1084.248</v>
      </c>
      <c r="AW79" s="308">
        <v>1084.248</v>
      </c>
      <c r="AX79" s="308">
        <v>1084.248</v>
      </c>
      <c r="AY79" s="308">
        <v>1084.248</v>
      </c>
    </row>
    <row r="80" spans="3:51">
      <c r="C80" s="287">
        <v>349794</v>
      </c>
      <c r="D80" t="s">
        <v>344</v>
      </c>
      <c r="E80" t="s">
        <v>345</v>
      </c>
      <c r="F80">
        <v>319</v>
      </c>
      <c r="G80" t="s">
        <v>466</v>
      </c>
      <c r="H80" s="288">
        <v>25302434920</v>
      </c>
      <c r="I80" t="s">
        <v>467</v>
      </c>
      <c r="J80" t="s">
        <v>468</v>
      </c>
      <c r="K80" s="289">
        <v>87000</v>
      </c>
      <c r="L80" s="290">
        <v>44409</v>
      </c>
      <c r="M80" s="290">
        <v>44773</v>
      </c>
      <c r="N80">
        <v>364</v>
      </c>
      <c r="O80" s="291" t="s">
        <v>334</v>
      </c>
      <c r="P80" t="s">
        <v>349</v>
      </c>
      <c r="Q80" s="292">
        <v>36250</v>
      </c>
      <c r="R80" s="292">
        <v>21750</v>
      </c>
      <c r="S80" s="292">
        <v>7250</v>
      </c>
      <c r="T80" s="292">
        <v>7250</v>
      </c>
      <c r="U80" s="292">
        <v>7250</v>
      </c>
      <c r="V80" s="292">
        <v>7250</v>
      </c>
      <c r="W80" s="308">
        <v>8047.5000000000009</v>
      </c>
      <c r="X80" s="308">
        <v>8047.5000000000009</v>
      </c>
      <c r="Y80" s="308">
        <v>8047.5000000000009</v>
      </c>
      <c r="Z80" s="308">
        <v>8047.5000000000009</v>
      </c>
      <c r="AA80" s="308">
        <v>8047.5000000000009</v>
      </c>
      <c r="AB80" s="308">
        <v>8047.5000000000009</v>
      </c>
      <c r="AC80" s="308">
        <v>8047.5000000000009</v>
      </c>
      <c r="AD80" s="308">
        <v>8047.5000000000009</v>
      </c>
      <c r="AE80" s="308">
        <v>8047.5000000000009</v>
      </c>
      <c r="AF80" s="308">
        <v>8047.5000000000009</v>
      </c>
      <c r="AG80" s="308">
        <v>8047.5000000000009</v>
      </c>
      <c r="AH80" s="308">
        <v>8047.5000000000009</v>
      </c>
      <c r="AI80" s="308">
        <v>8932.7250000000022</v>
      </c>
      <c r="AJ80" s="308">
        <v>8932.7250000000022</v>
      </c>
      <c r="AK80" s="308">
        <v>8932.7250000000022</v>
      </c>
      <c r="AL80" s="308">
        <v>8932.7250000000022</v>
      </c>
      <c r="AM80" s="308">
        <v>8932.7250000000022</v>
      </c>
      <c r="AN80" s="308">
        <v>8932.7250000000022</v>
      </c>
      <c r="AO80" s="308">
        <v>8932.7250000000022</v>
      </c>
      <c r="AP80" s="308">
        <v>8932.7250000000022</v>
      </c>
      <c r="AQ80" s="308">
        <v>8932.7250000000022</v>
      </c>
      <c r="AR80" s="308">
        <v>8932.7250000000022</v>
      </c>
      <c r="AS80" s="308">
        <v>8932.7250000000022</v>
      </c>
      <c r="AT80" s="308">
        <v>8932.7250000000022</v>
      </c>
      <c r="AU80" s="308">
        <v>9915.3247500000034</v>
      </c>
      <c r="AV80" s="308">
        <v>9915.3247500000034</v>
      </c>
      <c r="AW80" s="308">
        <v>9915.3247500000034</v>
      </c>
      <c r="AX80" s="308">
        <v>9915.3247500000034</v>
      </c>
      <c r="AY80" s="308">
        <v>9915.3247500000034</v>
      </c>
    </row>
    <row r="81" spans="3:51">
      <c r="C81" s="287">
        <v>352076</v>
      </c>
      <c r="D81" t="s">
        <v>344</v>
      </c>
      <c r="E81" t="s">
        <v>345</v>
      </c>
      <c r="F81">
        <v>319</v>
      </c>
      <c r="G81" t="s">
        <v>469</v>
      </c>
      <c r="H81" s="288">
        <v>395988001450</v>
      </c>
      <c r="I81" t="s">
        <v>470</v>
      </c>
      <c r="J81" t="s">
        <v>471</v>
      </c>
      <c r="K81" s="289">
        <v>30830.34</v>
      </c>
      <c r="L81" s="290">
        <v>44379</v>
      </c>
      <c r="M81" s="290">
        <v>44743</v>
      </c>
      <c r="N81">
        <v>364</v>
      </c>
      <c r="O81" s="291" t="s">
        <v>334</v>
      </c>
      <c r="P81" t="s">
        <v>349</v>
      </c>
      <c r="Q81" s="292">
        <v>13487.19</v>
      </c>
      <c r="R81" s="292">
        <v>8319.19</v>
      </c>
      <c r="S81" s="292">
        <v>2569.1999999999998</v>
      </c>
      <c r="T81" s="292">
        <v>2569.1999999999998</v>
      </c>
      <c r="U81" s="292">
        <v>2569.1999999999998</v>
      </c>
      <c r="V81" s="292">
        <v>2851.8119999999999</v>
      </c>
      <c r="W81" s="308">
        <v>2851.8119999999999</v>
      </c>
      <c r="X81" s="308">
        <v>2851.8119999999999</v>
      </c>
      <c r="Y81" s="308">
        <v>2851.8119999999999</v>
      </c>
      <c r="Z81" s="308">
        <v>2851.8119999999999</v>
      </c>
      <c r="AA81" s="308">
        <v>2851.8119999999999</v>
      </c>
      <c r="AB81" s="308">
        <v>2851.8119999999999</v>
      </c>
      <c r="AC81" s="308">
        <v>2851.8119999999999</v>
      </c>
      <c r="AD81" s="308">
        <v>2851.8119999999999</v>
      </c>
      <c r="AE81" s="308">
        <v>2851.8119999999999</v>
      </c>
      <c r="AF81" s="308">
        <v>2851.8119999999999</v>
      </c>
      <c r="AG81" s="308">
        <v>2851.8119999999999</v>
      </c>
      <c r="AH81" s="308">
        <v>3165.5113200000001</v>
      </c>
      <c r="AI81" s="308">
        <v>3165.5113200000001</v>
      </c>
      <c r="AJ81" s="308">
        <v>3165.5113200000001</v>
      </c>
      <c r="AK81" s="308">
        <v>3165.5113200000001</v>
      </c>
      <c r="AL81" s="308">
        <v>3165.5113200000001</v>
      </c>
      <c r="AM81" s="308">
        <v>3165.5113200000001</v>
      </c>
      <c r="AN81" s="308">
        <v>3165.5113200000001</v>
      </c>
      <c r="AO81" s="308">
        <v>3165.5113200000001</v>
      </c>
      <c r="AP81" s="308">
        <v>3165.5113200000001</v>
      </c>
      <c r="AQ81" s="308">
        <v>3165.5113200000001</v>
      </c>
      <c r="AR81" s="308">
        <v>3165.5113200000001</v>
      </c>
      <c r="AS81" s="308">
        <v>3165.5113200000001</v>
      </c>
      <c r="AT81" s="308">
        <v>3513.7175652000005</v>
      </c>
      <c r="AU81" s="308">
        <v>3513.7175652000005</v>
      </c>
      <c r="AV81" s="308">
        <v>3513.7175652000005</v>
      </c>
      <c r="AW81" s="308">
        <v>3513.7175652000005</v>
      </c>
      <c r="AX81" s="308">
        <v>3513.7175652000005</v>
      </c>
      <c r="AY81" s="308">
        <v>3513.7175652000005</v>
      </c>
    </row>
    <row r="82" spans="3:51">
      <c r="C82" s="287">
        <v>346549</v>
      </c>
      <c r="D82" t="s">
        <v>344</v>
      </c>
      <c r="E82" t="s">
        <v>384</v>
      </c>
      <c r="F82">
        <v>319</v>
      </c>
      <c r="G82" t="s">
        <v>469</v>
      </c>
      <c r="H82" s="288">
        <v>395988001450</v>
      </c>
      <c r="I82" t="s">
        <v>470</v>
      </c>
      <c r="J82" t="s">
        <v>472</v>
      </c>
      <c r="K82" s="289">
        <v>727.32</v>
      </c>
      <c r="L82" s="290">
        <v>44379</v>
      </c>
      <c r="M82" s="290">
        <v>44743</v>
      </c>
      <c r="N82">
        <v>364</v>
      </c>
      <c r="O82" s="291" t="s">
        <v>334</v>
      </c>
      <c r="P82" t="s">
        <v>349</v>
      </c>
      <c r="Q82" s="292">
        <v>0</v>
      </c>
      <c r="R82" s="292">
        <v>0</v>
      </c>
      <c r="S82" s="292">
        <v>60.61</v>
      </c>
      <c r="T82" s="292">
        <v>60.61</v>
      </c>
      <c r="U82" s="292">
        <v>60.61</v>
      </c>
      <c r="V82" s="292">
        <v>67.277100000000004</v>
      </c>
      <c r="W82" s="308">
        <v>67.277100000000004</v>
      </c>
      <c r="X82" s="308">
        <v>67.277100000000004</v>
      </c>
      <c r="Y82" s="308">
        <v>67.277100000000004</v>
      </c>
      <c r="Z82" s="308">
        <v>67.277100000000004</v>
      </c>
      <c r="AA82" s="308">
        <v>67.277100000000004</v>
      </c>
      <c r="AB82" s="308">
        <v>67.277100000000004</v>
      </c>
      <c r="AC82" s="308">
        <v>67.277100000000004</v>
      </c>
      <c r="AD82" s="308">
        <v>67.277100000000004</v>
      </c>
      <c r="AE82" s="308">
        <v>67.277100000000004</v>
      </c>
      <c r="AF82" s="308">
        <v>67.277100000000004</v>
      </c>
      <c r="AG82" s="308">
        <v>67.277100000000004</v>
      </c>
      <c r="AH82" s="308">
        <v>74.677581000000018</v>
      </c>
      <c r="AI82" s="308">
        <v>74.677581000000018</v>
      </c>
      <c r="AJ82" s="308">
        <v>74.677581000000018</v>
      </c>
      <c r="AK82" s="308">
        <v>74.677581000000018</v>
      </c>
      <c r="AL82" s="308">
        <v>74.677581000000018</v>
      </c>
      <c r="AM82" s="308">
        <v>74.677581000000018</v>
      </c>
      <c r="AN82" s="308">
        <v>74.677581000000018</v>
      </c>
      <c r="AO82" s="308">
        <v>74.677581000000018</v>
      </c>
      <c r="AP82" s="308">
        <v>74.677581000000018</v>
      </c>
      <c r="AQ82" s="308">
        <v>74.677581000000018</v>
      </c>
      <c r="AR82" s="308">
        <v>74.677581000000018</v>
      </c>
      <c r="AS82" s="308">
        <v>74.677581000000018</v>
      </c>
      <c r="AT82" s="308">
        <v>82.892114910000032</v>
      </c>
      <c r="AU82" s="308">
        <v>82.892114910000032</v>
      </c>
      <c r="AV82" s="308">
        <v>82.892114910000032</v>
      </c>
      <c r="AW82" s="308">
        <v>82.892114910000032</v>
      </c>
      <c r="AX82" s="308">
        <v>82.892114910000032</v>
      </c>
      <c r="AY82" s="308">
        <v>82.892114910000032</v>
      </c>
    </row>
    <row r="83" spans="3:51">
      <c r="C83" s="287">
        <v>349193</v>
      </c>
      <c r="D83" t="s">
        <v>473</v>
      </c>
      <c r="E83" t="s">
        <v>345</v>
      </c>
      <c r="F83">
        <v>319</v>
      </c>
      <c r="G83" t="s">
        <v>469</v>
      </c>
      <c r="H83" s="288">
        <v>75426007000179</v>
      </c>
      <c r="I83" t="s">
        <v>474</v>
      </c>
      <c r="J83" t="s">
        <v>475</v>
      </c>
      <c r="K83" s="289">
        <v>300410.40000000002</v>
      </c>
      <c r="L83" s="290">
        <v>44378</v>
      </c>
      <c r="M83" s="290">
        <v>44742</v>
      </c>
      <c r="N83">
        <v>364</v>
      </c>
      <c r="O83" s="291" t="s">
        <v>334</v>
      </c>
      <c r="P83" t="s">
        <v>349</v>
      </c>
      <c r="Q83" s="292">
        <v>92000</v>
      </c>
      <c r="R83" s="292">
        <v>69000</v>
      </c>
      <c r="S83" s="292">
        <v>23000</v>
      </c>
      <c r="T83" s="292">
        <v>23000</v>
      </c>
      <c r="U83" s="292">
        <v>23000</v>
      </c>
      <c r="V83" s="308">
        <v>25530.000000000004</v>
      </c>
      <c r="W83" s="308">
        <v>25530.000000000004</v>
      </c>
      <c r="X83" s="308">
        <v>25530.000000000004</v>
      </c>
      <c r="Y83" s="308">
        <v>25530.000000000004</v>
      </c>
      <c r="Z83" s="308">
        <v>25530.000000000004</v>
      </c>
      <c r="AA83" s="308">
        <v>25530.000000000004</v>
      </c>
      <c r="AB83" s="308">
        <v>25530.000000000004</v>
      </c>
      <c r="AC83" s="308">
        <v>25530.000000000004</v>
      </c>
      <c r="AD83" s="308">
        <v>25530.000000000004</v>
      </c>
      <c r="AE83" s="308">
        <v>25530.000000000004</v>
      </c>
      <c r="AF83" s="308">
        <v>25530.000000000004</v>
      </c>
      <c r="AG83" s="308">
        <v>25530.000000000004</v>
      </c>
      <c r="AH83" s="308">
        <v>28338.300000000007</v>
      </c>
      <c r="AI83" s="308">
        <v>28338.300000000007</v>
      </c>
      <c r="AJ83" s="308">
        <v>28338.300000000007</v>
      </c>
      <c r="AK83" s="308">
        <v>28338.300000000007</v>
      </c>
      <c r="AL83" s="308">
        <v>28338.300000000007</v>
      </c>
      <c r="AM83" s="308">
        <v>28338.300000000007</v>
      </c>
      <c r="AN83" s="308">
        <v>28338.300000000007</v>
      </c>
      <c r="AO83" s="308">
        <v>28338.300000000007</v>
      </c>
      <c r="AP83" s="308">
        <v>28338.300000000007</v>
      </c>
      <c r="AQ83" s="308">
        <v>28338.300000000007</v>
      </c>
      <c r="AR83" s="308">
        <v>28338.300000000007</v>
      </c>
      <c r="AS83" s="308">
        <v>28338.300000000007</v>
      </c>
      <c r="AT83" s="308">
        <v>31455.51300000001</v>
      </c>
      <c r="AU83" s="308">
        <v>31455.51300000001</v>
      </c>
      <c r="AV83" s="308">
        <v>31455.51300000001</v>
      </c>
      <c r="AW83" s="308">
        <v>31455.51300000001</v>
      </c>
      <c r="AX83" s="308">
        <v>31455.51300000001</v>
      </c>
      <c r="AY83" s="308">
        <v>31455.51300000001</v>
      </c>
    </row>
    <row r="84" spans="3:51">
      <c r="C84" s="287">
        <v>350324</v>
      </c>
      <c r="D84" t="s">
        <v>344</v>
      </c>
      <c r="E84" t="s">
        <v>345</v>
      </c>
      <c r="F84">
        <v>319</v>
      </c>
      <c r="G84" t="s">
        <v>476</v>
      </c>
      <c r="H84" s="288">
        <v>21056503000159</v>
      </c>
      <c r="I84" t="s">
        <v>477</v>
      </c>
      <c r="J84" t="s">
        <v>478</v>
      </c>
      <c r="K84" s="289">
        <v>516000</v>
      </c>
      <c r="L84" s="290">
        <v>44348</v>
      </c>
      <c r="M84" s="290">
        <v>45078</v>
      </c>
      <c r="N84">
        <v>730</v>
      </c>
      <c r="O84" s="291" t="s">
        <v>334</v>
      </c>
      <c r="P84" t="s">
        <v>349</v>
      </c>
      <c r="Q84" s="292">
        <v>126000</v>
      </c>
      <c r="R84" s="292">
        <v>68363.8</v>
      </c>
      <c r="S84" s="292">
        <v>21000</v>
      </c>
      <c r="T84" s="292">
        <v>21000</v>
      </c>
      <c r="U84" s="292">
        <v>21000</v>
      </c>
      <c r="V84" s="292">
        <v>21000</v>
      </c>
      <c r="W84" s="292">
        <v>21000</v>
      </c>
      <c r="X84" s="292">
        <v>23310.000000000004</v>
      </c>
      <c r="Y84" s="292">
        <v>23310.000000000004</v>
      </c>
      <c r="Z84" s="292">
        <v>23310.000000000004</v>
      </c>
      <c r="AA84" s="292">
        <v>23310.000000000004</v>
      </c>
      <c r="AB84" s="292">
        <v>23310.000000000004</v>
      </c>
      <c r="AC84" s="292">
        <v>23310.000000000004</v>
      </c>
      <c r="AD84" s="292">
        <v>23310.000000000004</v>
      </c>
      <c r="AE84" s="292">
        <v>23310.000000000004</v>
      </c>
      <c r="AF84" s="292">
        <v>23310.000000000004</v>
      </c>
      <c r="AG84" s="292">
        <v>23310.000000000004</v>
      </c>
      <c r="AH84" s="308">
        <v>23310</v>
      </c>
      <c r="AI84" s="308">
        <v>23310</v>
      </c>
      <c r="AJ84" s="308">
        <v>25874.100000000002</v>
      </c>
      <c r="AK84" s="308">
        <v>25874.100000000002</v>
      </c>
      <c r="AL84" s="308">
        <v>25874.100000000002</v>
      </c>
      <c r="AM84" s="308">
        <v>25874.100000000002</v>
      </c>
      <c r="AN84" s="308">
        <v>25874.100000000002</v>
      </c>
      <c r="AO84" s="308">
        <v>25874.100000000002</v>
      </c>
      <c r="AP84" s="308">
        <v>25874.100000000002</v>
      </c>
      <c r="AQ84" s="308">
        <v>25874.100000000002</v>
      </c>
      <c r="AR84" s="308">
        <v>25874.100000000002</v>
      </c>
      <c r="AS84" s="308">
        <v>25874.100000000002</v>
      </c>
      <c r="AT84" s="308">
        <v>25874.100000000002</v>
      </c>
      <c r="AU84" s="308">
        <v>25874.100000000002</v>
      </c>
      <c r="AV84" s="308">
        <v>28720.251000000004</v>
      </c>
      <c r="AW84" s="308">
        <v>28720.251000000004</v>
      </c>
      <c r="AX84" s="308">
        <v>28720.251000000004</v>
      </c>
      <c r="AY84" s="308">
        <v>28720.251000000004</v>
      </c>
    </row>
    <row r="85" spans="3:51">
      <c r="C85" s="287">
        <v>353469</v>
      </c>
      <c r="D85" t="s">
        <v>344</v>
      </c>
      <c r="E85" t="s">
        <v>359</v>
      </c>
      <c r="F85">
        <v>319</v>
      </c>
      <c r="G85" t="s">
        <v>476</v>
      </c>
      <c r="H85" s="302">
        <v>95410726000109</v>
      </c>
      <c r="I85" t="s">
        <v>479</v>
      </c>
      <c r="J85" t="s">
        <v>480</v>
      </c>
      <c r="K85" s="289">
        <v>166652</v>
      </c>
      <c r="L85" s="290">
        <v>44440</v>
      </c>
      <c r="M85" s="290">
        <v>45170</v>
      </c>
      <c r="N85">
        <v>730</v>
      </c>
      <c r="O85" s="291" t="s">
        <v>334</v>
      </c>
      <c r="P85" t="s">
        <v>349</v>
      </c>
      <c r="Q85" s="292">
        <v>20100</v>
      </c>
      <c r="R85" s="292">
        <v>22494.82</v>
      </c>
      <c r="S85" s="292">
        <v>6700</v>
      </c>
      <c r="T85" s="292">
        <v>6700</v>
      </c>
      <c r="U85" s="292">
        <v>6700</v>
      </c>
      <c r="V85" s="292">
        <v>6700</v>
      </c>
      <c r="W85" s="292">
        <v>6700</v>
      </c>
      <c r="X85" s="292">
        <v>7437.0000000000009</v>
      </c>
      <c r="Y85" s="292">
        <v>7437.0000000000009</v>
      </c>
      <c r="Z85" s="292">
        <v>7437.0000000000009</v>
      </c>
      <c r="AA85" s="292">
        <v>7437.0000000000009</v>
      </c>
      <c r="AB85" s="292">
        <v>7437.0000000000009</v>
      </c>
      <c r="AC85" s="292">
        <v>7437.0000000000009</v>
      </c>
      <c r="AD85" s="292">
        <v>7437.0000000000009</v>
      </c>
      <c r="AE85" s="292">
        <v>7437.0000000000009</v>
      </c>
      <c r="AF85" s="292">
        <v>7437.0000000000009</v>
      </c>
      <c r="AG85" s="292">
        <v>7437.0000000000009</v>
      </c>
      <c r="AH85" s="292">
        <v>7437.0000000000009</v>
      </c>
      <c r="AI85" s="292">
        <v>7437.0000000000009</v>
      </c>
      <c r="AJ85" s="292">
        <v>8255.0700000000015</v>
      </c>
      <c r="AK85" s="308">
        <v>8255.0700000000015</v>
      </c>
      <c r="AL85" s="308">
        <v>8255.0700000000015</v>
      </c>
      <c r="AM85" s="308">
        <v>8255.0700000000015</v>
      </c>
      <c r="AN85" s="308">
        <v>8255.0700000000015</v>
      </c>
      <c r="AO85" s="308">
        <v>8255.0700000000015</v>
      </c>
      <c r="AP85" s="308">
        <v>8255.0700000000015</v>
      </c>
      <c r="AQ85" s="308">
        <v>8255.0700000000015</v>
      </c>
      <c r="AR85" s="308">
        <v>8255.0700000000015</v>
      </c>
      <c r="AS85" s="308">
        <v>8255.0700000000015</v>
      </c>
      <c r="AT85" s="308">
        <v>8255.0700000000015</v>
      </c>
      <c r="AU85" s="308">
        <v>8255.0700000000015</v>
      </c>
      <c r="AV85" s="308">
        <v>9163.1277000000027</v>
      </c>
      <c r="AW85" s="308">
        <v>9163.1277000000027</v>
      </c>
      <c r="AX85" s="308">
        <v>9163.1277000000027</v>
      </c>
      <c r="AY85" s="308">
        <v>9163.1277000000027</v>
      </c>
    </row>
    <row r="86" spans="3:51">
      <c r="C86" s="287">
        <v>351845</v>
      </c>
      <c r="D86" t="s">
        <v>344</v>
      </c>
      <c r="E86" t="s">
        <v>353</v>
      </c>
      <c r="F86">
        <v>319</v>
      </c>
      <c r="G86" t="s">
        <v>481</v>
      </c>
      <c r="H86" s="288">
        <v>56453884968</v>
      </c>
      <c r="I86" t="s">
        <v>482</v>
      </c>
      <c r="J86" t="s">
        <v>483</v>
      </c>
      <c r="K86" s="289">
        <v>9792.08</v>
      </c>
      <c r="L86" s="290">
        <v>44395</v>
      </c>
      <c r="M86" s="290">
        <v>44759</v>
      </c>
      <c r="N86">
        <v>364</v>
      </c>
      <c r="O86" s="291" t="s">
        <v>334</v>
      </c>
      <c r="P86" t="s">
        <v>349</v>
      </c>
      <c r="Q86" s="292">
        <v>3159.07</v>
      </c>
      <c r="R86" s="292">
        <v>2323.02</v>
      </c>
      <c r="S86" s="292">
        <v>598.34</v>
      </c>
      <c r="T86" s="292">
        <v>598.34</v>
      </c>
      <c r="U86" s="292">
        <v>598.34</v>
      </c>
      <c r="V86" s="292">
        <v>598.34</v>
      </c>
      <c r="W86" s="308">
        <v>664.15740000000005</v>
      </c>
      <c r="X86" s="308">
        <v>664.15740000000005</v>
      </c>
      <c r="Y86" s="308">
        <v>664.15740000000005</v>
      </c>
      <c r="Z86" s="308">
        <v>664.15740000000005</v>
      </c>
      <c r="AA86" s="308">
        <v>664.15740000000005</v>
      </c>
      <c r="AB86" s="308">
        <v>664.15740000000005</v>
      </c>
      <c r="AC86" s="308">
        <v>664.15740000000005</v>
      </c>
      <c r="AD86" s="308">
        <v>664.15740000000005</v>
      </c>
      <c r="AE86" s="308">
        <v>664.15740000000005</v>
      </c>
      <c r="AF86" s="308">
        <v>664.15740000000005</v>
      </c>
      <c r="AG86" s="308">
        <v>664.15740000000005</v>
      </c>
      <c r="AH86" s="308">
        <v>664.15740000000005</v>
      </c>
      <c r="AI86" s="308">
        <v>737.21471400000007</v>
      </c>
      <c r="AJ86" s="308">
        <v>737.21471400000007</v>
      </c>
      <c r="AK86" s="308">
        <v>737.21471400000007</v>
      </c>
      <c r="AL86" s="308">
        <v>737.21471400000007</v>
      </c>
      <c r="AM86" s="308">
        <v>737.21471400000007</v>
      </c>
      <c r="AN86" s="308">
        <v>737.21471400000007</v>
      </c>
      <c r="AO86" s="308">
        <v>737.21471400000007</v>
      </c>
      <c r="AP86" s="308">
        <v>737.21471400000007</v>
      </c>
      <c r="AQ86" s="308">
        <v>737.21471400000007</v>
      </c>
      <c r="AR86" s="308">
        <v>737.21471400000007</v>
      </c>
      <c r="AS86" s="308">
        <v>737.21471400000007</v>
      </c>
      <c r="AT86" s="308">
        <v>737.21471400000007</v>
      </c>
      <c r="AU86" s="308">
        <v>818.30833254000015</v>
      </c>
      <c r="AV86" s="308">
        <v>818.30833254000015</v>
      </c>
      <c r="AW86" s="308">
        <v>818.30833254000015</v>
      </c>
      <c r="AX86" s="308">
        <v>818.30833254000015</v>
      </c>
      <c r="AY86" s="308">
        <v>818.30833254000015</v>
      </c>
    </row>
    <row r="87" spans="3:51">
      <c r="C87" s="287">
        <v>347084</v>
      </c>
      <c r="D87" t="s">
        <v>344</v>
      </c>
      <c r="E87" t="s">
        <v>345</v>
      </c>
      <c r="F87">
        <v>319</v>
      </c>
      <c r="G87" t="s">
        <v>484</v>
      </c>
      <c r="H87" s="288">
        <v>16957229904</v>
      </c>
      <c r="I87" t="s">
        <v>485</v>
      </c>
      <c r="J87" t="s">
        <v>486</v>
      </c>
      <c r="K87" s="289">
        <v>5400</v>
      </c>
      <c r="L87" s="290">
        <v>44348</v>
      </c>
      <c r="M87" s="290">
        <v>44712</v>
      </c>
      <c r="N87">
        <v>364</v>
      </c>
      <c r="O87" s="291" t="s">
        <v>334</v>
      </c>
      <c r="P87" t="s">
        <v>349</v>
      </c>
      <c r="Q87" s="292">
        <v>2700</v>
      </c>
      <c r="R87" s="292">
        <v>1350</v>
      </c>
      <c r="S87" s="292">
        <v>500</v>
      </c>
      <c r="T87" s="292">
        <v>500</v>
      </c>
      <c r="U87" s="308">
        <v>500</v>
      </c>
      <c r="V87" s="308">
        <v>500</v>
      </c>
      <c r="W87" s="308">
        <v>500</v>
      </c>
      <c r="X87" s="308">
        <v>500</v>
      </c>
      <c r="Y87" s="308">
        <v>500</v>
      </c>
      <c r="Z87" s="308">
        <v>500</v>
      </c>
      <c r="AA87" s="308">
        <v>500</v>
      </c>
      <c r="AB87" s="308">
        <v>500</v>
      </c>
      <c r="AC87" s="308">
        <v>500</v>
      </c>
      <c r="AD87" s="308">
        <v>500</v>
      </c>
      <c r="AE87" s="308">
        <v>500</v>
      </c>
      <c r="AF87" s="308">
        <v>500</v>
      </c>
      <c r="AG87" s="308">
        <v>555</v>
      </c>
      <c r="AH87" s="308">
        <v>555</v>
      </c>
      <c r="AI87" s="308">
        <v>555</v>
      </c>
      <c r="AJ87" s="308">
        <v>555</v>
      </c>
      <c r="AK87" s="308">
        <v>555</v>
      </c>
      <c r="AL87" s="308">
        <v>555</v>
      </c>
      <c r="AM87" s="308">
        <v>555</v>
      </c>
      <c r="AN87" s="308">
        <v>555</v>
      </c>
      <c r="AO87" s="308">
        <v>555</v>
      </c>
      <c r="AP87" s="308">
        <v>555</v>
      </c>
      <c r="AQ87" s="308">
        <v>555</v>
      </c>
      <c r="AR87" s="308">
        <v>555</v>
      </c>
      <c r="AS87" s="308">
        <v>616.05000000000007</v>
      </c>
      <c r="AT87" s="308">
        <v>616.05000000000007</v>
      </c>
      <c r="AU87" s="308">
        <v>616.05000000000007</v>
      </c>
      <c r="AV87" s="308">
        <v>616.05000000000007</v>
      </c>
      <c r="AW87" s="308">
        <v>616.05000000000007</v>
      </c>
      <c r="AX87" s="308">
        <v>616.05000000000007</v>
      </c>
      <c r="AY87" s="308">
        <v>616.05000000000007</v>
      </c>
    </row>
    <row r="88" spans="3:51">
      <c r="C88" s="287">
        <v>353890</v>
      </c>
      <c r="D88" t="s">
        <v>344</v>
      </c>
      <c r="E88" t="s">
        <v>345</v>
      </c>
      <c r="F88">
        <v>319</v>
      </c>
      <c r="G88" t="s">
        <v>487</v>
      </c>
      <c r="H88" s="288">
        <v>66676584972</v>
      </c>
      <c r="I88" t="s">
        <v>488</v>
      </c>
      <c r="J88" t="s">
        <v>489</v>
      </c>
      <c r="K88" s="289">
        <v>10080</v>
      </c>
      <c r="L88" s="290">
        <v>44440</v>
      </c>
      <c r="M88" s="290">
        <v>44804</v>
      </c>
      <c r="N88">
        <v>364</v>
      </c>
      <c r="O88" s="291" t="s">
        <v>334</v>
      </c>
      <c r="P88" t="s">
        <v>349</v>
      </c>
      <c r="Q88" s="292">
        <v>2520</v>
      </c>
      <c r="R88" s="292">
        <v>2520</v>
      </c>
      <c r="S88" s="292">
        <v>840</v>
      </c>
      <c r="T88" s="292">
        <v>840</v>
      </c>
      <c r="U88" s="292">
        <v>840</v>
      </c>
      <c r="V88" s="292">
        <v>840</v>
      </c>
      <c r="W88" s="292">
        <v>840</v>
      </c>
      <c r="X88" s="308">
        <v>932.40000000000009</v>
      </c>
      <c r="Y88" s="308">
        <v>932.40000000000009</v>
      </c>
      <c r="Z88" s="308">
        <v>932.40000000000009</v>
      </c>
      <c r="AA88" s="308">
        <v>932.40000000000009</v>
      </c>
      <c r="AB88" s="308">
        <v>932.40000000000009</v>
      </c>
      <c r="AC88" s="308">
        <v>932.40000000000009</v>
      </c>
      <c r="AD88" s="308">
        <v>932.40000000000009</v>
      </c>
      <c r="AE88" s="308">
        <v>932.40000000000009</v>
      </c>
      <c r="AF88" s="308">
        <v>932.40000000000009</v>
      </c>
      <c r="AG88" s="308">
        <v>932.40000000000009</v>
      </c>
      <c r="AH88" s="308">
        <v>932.40000000000009</v>
      </c>
      <c r="AI88" s="308">
        <v>932.40000000000009</v>
      </c>
      <c r="AJ88" s="308">
        <v>1034.9640000000002</v>
      </c>
      <c r="AK88" s="308">
        <v>1034.9640000000002</v>
      </c>
      <c r="AL88" s="308">
        <v>1034.9640000000002</v>
      </c>
      <c r="AM88" s="308">
        <v>1034.9640000000002</v>
      </c>
      <c r="AN88" s="308">
        <v>1034.9640000000002</v>
      </c>
      <c r="AO88" s="308">
        <v>1034.9640000000002</v>
      </c>
      <c r="AP88" s="308">
        <v>1034.9640000000002</v>
      </c>
      <c r="AQ88" s="308">
        <v>1034.9640000000002</v>
      </c>
      <c r="AR88" s="308">
        <v>1034.9640000000002</v>
      </c>
      <c r="AS88" s="308">
        <v>1034.9640000000002</v>
      </c>
      <c r="AT88" s="308">
        <v>1034.9640000000002</v>
      </c>
      <c r="AU88" s="308">
        <v>1034.9640000000002</v>
      </c>
      <c r="AV88" s="308">
        <v>1148.8100400000003</v>
      </c>
      <c r="AW88" s="308">
        <v>1148.8100400000003</v>
      </c>
      <c r="AX88" s="308">
        <v>1148.8100400000003</v>
      </c>
      <c r="AY88" s="308">
        <v>1148.8100400000003</v>
      </c>
    </row>
    <row r="89" spans="3:51">
      <c r="C89" s="287">
        <v>346655</v>
      </c>
      <c r="D89" t="s">
        <v>344</v>
      </c>
      <c r="E89" t="s">
        <v>345</v>
      </c>
      <c r="F89">
        <v>319</v>
      </c>
      <c r="G89" t="s">
        <v>490</v>
      </c>
      <c r="H89" s="288">
        <v>48424633920</v>
      </c>
      <c r="I89" t="s">
        <v>491</v>
      </c>
      <c r="J89" t="s">
        <v>492</v>
      </c>
      <c r="K89" s="289">
        <v>7560</v>
      </c>
      <c r="L89" s="290">
        <v>44348</v>
      </c>
      <c r="M89" s="290">
        <v>44713</v>
      </c>
      <c r="N89">
        <v>365</v>
      </c>
      <c r="O89" s="291" t="s">
        <v>334</v>
      </c>
      <c r="P89" t="s">
        <v>349</v>
      </c>
      <c r="Q89" s="292">
        <v>4410</v>
      </c>
      <c r="R89" s="292">
        <v>1890</v>
      </c>
      <c r="S89" s="292">
        <v>700</v>
      </c>
      <c r="T89" s="292">
        <v>700</v>
      </c>
      <c r="U89" s="292">
        <v>700</v>
      </c>
      <c r="V89" s="308">
        <v>777.00000000000011</v>
      </c>
      <c r="W89" s="308">
        <v>777.00000000000011</v>
      </c>
      <c r="X89" s="308">
        <v>777.00000000000011</v>
      </c>
      <c r="Y89" s="308">
        <v>777.00000000000011</v>
      </c>
      <c r="Z89" s="308">
        <v>777.00000000000011</v>
      </c>
      <c r="AA89" s="308">
        <v>777.00000000000011</v>
      </c>
      <c r="AB89" s="308">
        <v>777.00000000000011</v>
      </c>
      <c r="AC89" s="308">
        <v>777.00000000000011</v>
      </c>
      <c r="AD89" s="308">
        <v>777.00000000000011</v>
      </c>
      <c r="AE89" s="308">
        <v>777.00000000000011</v>
      </c>
      <c r="AF89" s="308">
        <v>777.00000000000011</v>
      </c>
      <c r="AG89" s="308">
        <v>777.00000000000011</v>
      </c>
      <c r="AH89" s="308">
        <v>862.47000000000025</v>
      </c>
      <c r="AI89" s="308">
        <v>862.47000000000025</v>
      </c>
      <c r="AJ89" s="308">
        <v>862.47000000000025</v>
      </c>
      <c r="AK89" s="308">
        <v>862.47000000000025</v>
      </c>
      <c r="AL89" s="308">
        <v>862.47000000000025</v>
      </c>
      <c r="AM89" s="308">
        <v>862.47000000000025</v>
      </c>
      <c r="AN89" s="308">
        <v>862.47000000000025</v>
      </c>
      <c r="AO89" s="308">
        <v>862.47000000000025</v>
      </c>
      <c r="AP89" s="308">
        <v>862.47000000000025</v>
      </c>
      <c r="AQ89" s="308">
        <v>862.47000000000025</v>
      </c>
      <c r="AR89" s="308">
        <v>862.47000000000025</v>
      </c>
      <c r="AS89" s="308">
        <v>862.47000000000025</v>
      </c>
      <c r="AT89" s="308">
        <v>957.3417000000004</v>
      </c>
      <c r="AU89" s="308">
        <v>957.3417000000004</v>
      </c>
      <c r="AV89" s="308">
        <v>957.3417000000004</v>
      </c>
      <c r="AW89" s="308">
        <v>957.3417000000004</v>
      </c>
      <c r="AX89" s="308">
        <v>957.3417000000004</v>
      </c>
      <c r="AY89" s="308">
        <v>957.3417000000004</v>
      </c>
    </row>
    <row r="90" spans="3:51">
      <c r="C90" s="325">
        <v>362089</v>
      </c>
      <c r="D90" t="s">
        <v>344</v>
      </c>
      <c r="E90" t="s">
        <v>353</v>
      </c>
      <c r="F90">
        <v>319</v>
      </c>
      <c r="G90" t="s">
        <v>493</v>
      </c>
      <c r="H90" s="305">
        <v>59267550934</v>
      </c>
      <c r="I90" t="s">
        <v>494</v>
      </c>
      <c r="J90" t="s">
        <v>495</v>
      </c>
      <c r="K90" s="289">
        <v>16100</v>
      </c>
      <c r="L90" s="290">
        <v>44652</v>
      </c>
      <c r="M90" s="290">
        <v>45016</v>
      </c>
      <c r="N90">
        <v>364</v>
      </c>
      <c r="O90" s="291" t="s">
        <v>334</v>
      </c>
      <c r="P90" t="s">
        <v>349</v>
      </c>
      <c r="Q90" s="292">
        <v>0</v>
      </c>
      <c r="R90" s="292">
        <v>0</v>
      </c>
      <c r="S90" s="292">
        <v>1300</v>
      </c>
      <c r="T90" s="292">
        <v>1300</v>
      </c>
      <c r="U90" s="292">
        <v>1300</v>
      </c>
      <c r="V90" s="292">
        <v>1300</v>
      </c>
      <c r="W90" s="292">
        <v>1300</v>
      </c>
      <c r="X90" s="292">
        <v>1300</v>
      </c>
      <c r="Y90" s="292">
        <v>1300</v>
      </c>
      <c r="Z90" s="292">
        <v>1300</v>
      </c>
      <c r="AA90" s="292">
        <v>1300</v>
      </c>
      <c r="AB90" s="292">
        <v>1300</v>
      </c>
      <c r="AC90" s="292">
        <v>1300</v>
      </c>
      <c r="AD90" s="292">
        <v>1300</v>
      </c>
      <c r="AE90" s="308">
        <v>1443.0000000000002</v>
      </c>
      <c r="AF90" s="308">
        <v>1443.0000000000002</v>
      </c>
      <c r="AG90" s="308">
        <v>1443.0000000000002</v>
      </c>
      <c r="AH90" s="308">
        <v>1443.0000000000002</v>
      </c>
      <c r="AI90" s="308">
        <v>1443.0000000000002</v>
      </c>
      <c r="AJ90" s="308">
        <v>1443.0000000000002</v>
      </c>
      <c r="AK90" s="308">
        <v>1443.0000000000002</v>
      </c>
      <c r="AL90" s="308">
        <v>1443.0000000000002</v>
      </c>
      <c r="AM90" s="308">
        <v>1443.0000000000002</v>
      </c>
      <c r="AN90" s="308">
        <v>1443.0000000000002</v>
      </c>
      <c r="AO90" s="308">
        <v>1443.0000000000002</v>
      </c>
      <c r="AP90" s="308">
        <v>1443.0000000000002</v>
      </c>
      <c r="AQ90" s="308">
        <v>1601.7300000000005</v>
      </c>
      <c r="AR90" s="308">
        <v>1601.7300000000005</v>
      </c>
      <c r="AS90" s="308">
        <v>1601.7300000000005</v>
      </c>
      <c r="AT90" s="308">
        <v>1601.7300000000005</v>
      </c>
      <c r="AU90" s="308">
        <v>1601.7300000000005</v>
      </c>
      <c r="AV90" s="308">
        <v>1601.7300000000005</v>
      </c>
      <c r="AW90" s="308">
        <v>1601.7300000000005</v>
      </c>
      <c r="AX90" s="308">
        <v>1601.7300000000005</v>
      </c>
      <c r="AY90" s="308">
        <v>1601.7300000000005</v>
      </c>
    </row>
    <row r="91" spans="3:51">
      <c r="C91" s="287">
        <v>348387</v>
      </c>
      <c r="D91" t="s">
        <v>344</v>
      </c>
      <c r="E91" t="s">
        <v>353</v>
      </c>
      <c r="F91">
        <v>319</v>
      </c>
      <c r="G91" t="s">
        <v>496</v>
      </c>
      <c r="H91" s="288">
        <v>28748115991</v>
      </c>
      <c r="I91" t="s">
        <v>497</v>
      </c>
      <c r="J91" t="s">
        <v>498</v>
      </c>
      <c r="K91" s="289">
        <v>43512.800000000003</v>
      </c>
      <c r="L91" s="290">
        <v>44348</v>
      </c>
      <c r="M91" s="290">
        <v>44712</v>
      </c>
      <c r="N91">
        <v>364</v>
      </c>
      <c r="O91" s="291" t="s">
        <v>334</v>
      </c>
      <c r="P91" t="s">
        <v>349</v>
      </c>
      <c r="Q91" s="292">
        <v>22091.75</v>
      </c>
      <c r="R91" s="292">
        <v>10603.2</v>
      </c>
      <c r="S91" s="292">
        <v>3534.4</v>
      </c>
      <c r="T91" s="292">
        <v>3534.4</v>
      </c>
      <c r="U91" s="308">
        <v>3923.1840000000007</v>
      </c>
      <c r="V91" s="308">
        <v>3923.1840000000007</v>
      </c>
      <c r="W91" s="308">
        <v>3923.1840000000007</v>
      </c>
      <c r="X91" s="308">
        <v>3923.1840000000007</v>
      </c>
      <c r="Y91" s="308">
        <v>3923.1840000000007</v>
      </c>
      <c r="Z91" s="308">
        <v>3923.1840000000007</v>
      </c>
      <c r="AA91" s="308">
        <v>3923.1840000000007</v>
      </c>
      <c r="AB91" s="308">
        <v>3923.1840000000007</v>
      </c>
      <c r="AC91" s="308">
        <v>3923.1840000000007</v>
      </c>
      <c r="AD91" s="308">
        <v>3923.1840000000007</v>
      </c>
      <c r="AE91" s="308">
        <v>3923.1840000000007</v>
      </c>
      <c r="AF91" s="308">
        <v>3923.1840000000007</v>
      </c>
      <c r="AG91" s="308">
        <v>4354.7342400000007</v>
      </c>
      <c r="AH91" s="308">
        <v>4354.7342400000007</v>
      </c>
      <c r="AI91" s="308">
        <v>4354.7342400000007</v>
      </c>
      <c r="AJ91" s="308">
        <v>4354.7342400000007</v>
      </c>
      <c r="AK91" s="308">
        <v>4354.7342400000007</v>
      </c>
      <c r="AL91" s="308">
        <v>4354.7342400000007</v>
      </c>
      <c r="AM91" s="308">
        <v>4354.7342400000007</v>
      </c>
      <c r="AN91" s="308">
        <v>4354.7342400000007</v>
      </c>
      <c r="AO91" s="308">
        <v>4354.7342400000007</v>
      </c>
      <c r="AP91" s="308">
        <v>4354.7342400000007</v>
      </c>
      <c r="AQ91" s="308">
        <v>4354.7342400000007</v>
      </c>
      <c r="AR91" s="308">
        <v>4354.7342400000007</v>
      </c>
      <c r="AS91" s="308">
        <v>4833.7550064000015</v>
      </c>
      <c r="AT91" s="308">
        <v>4833.7550064000015</v>
      </c>
      <c r="AU91" s="308">
        <v>4833.7550064000015</v>
      </c>
      <c r="AV91" s="308">
        <v>4833.7550064000015</v>
      </c>
      <c r="AW91" s="308">
        <v>4833.7550064000015</v>
      </c>
      <c r="AX91" s="308">
        <v>4833.7550064000015</v>
      </c>
      <c r="AY91" s="308">
        <v>4833.7550064000015</v>
      </c>
    </row>
    <row r="92" spans="3:51">
      <c r="C92" s="287">
        <v>337840</v>
      </c>
      <c r="D92" t="s">
        <v>344</v>
      </c>
      <c r="E92" t="s">
        <v>345</v>
      </c>
      <c r="F92">
        <v>319</v>
      </c>
      <c r="G92" t="s">
        <v>499</v>
      </c>
      <c r="H92" s="288">
        <v>33438960982</v>
      </c>
      <c r="I92" t="s">
        <v>500</v>
      </c>
      <c r="J92" t="s">
        <v>501</v>
      </c>
      <c r="K92" s="289">
        <v>32976</v>
      </c>
      <c r="L92" s="290">
        <v>44076</v>
      </c>
      <c r="M92" s="290">
        <v>44805</v>
      </c>
      <c r="N92">
        <v>729</v>
      </c>
      <c r="O92" s="291" t="s">
        <v>334</v>
      </c>
      <c r="P92" t="s">
        <v>349</v>
      </c>
      <c r="Q92" s="292">
        <v>16488</v>
      </c>
      <c r="R92" s="292">
        <v>4122</v>
      </c>
      <c r="S92" s="292">
        <v>1374</v>
      </c>
      <c r="T92" s="292">
        <v>1374</v>
      </c>
      <c r="U92" s="292">
        <v>1374</v>
      </c>
      <c r="V92" s="292">
        <v>1374</v>
      </c>
      <c r="W92" s="292">
        <v>1374</v>
      </c>
      <c r="X92" s="292">
        <v>1374</v>
      </c>
      <c r="Y92" s="308">
        <v>1525.14</v>
      </c>
      <c r="Z92" s="308">
        <v>1525.14</v>
      </c>
      <c r="AA92" s="308">
        <v>1525.14</v>
      </c>
      <c r="AB92" s="308">
        <v>1525.14</v>
      </c>
      <c r="AC92" s="308">
        <v>1525.14</v>
      </c>
      <c r="AD92" s="308">
        <v>1525.14</v>
      </c>
      <c r="AE92" s="308">
        <v>1525.14</v>
      </c>
      <c r="AF92" s="308">
        <v>1525.14</v>
      </c>
      <c r="AG92" s="308">
        <v>1525.14</v>
      </c>
      <c r="AH92" s="308">
        <v>1525.14</v>
      </c>
      <c r="AI92" s="308">
        <v>1525.14</v>
      </c>
      <c r="AJ92" s="308">
        <v>1525.14</v>
      </c>
      <c r="AK92" s="308">
        <v>1692.9054000000003</v>
      </c>
      <c r="AL92" s="308">
        <v>1692.9054000000003</v>
      </c>
      <c r="AM92" s="308">
        <v>1692.9054000000003</v>
      </c>
      <c r="AN92" s="308">
        <v>1692.9054000000003</v>
      </c>
      <c r="AO92" s="308">
        <v>1692.9054000000003</v>
      </c>
      <c r="AP92" s="308">
        <v>1692.9054000000003</v>
      </c>
      <c r="AQ92" s="308">
        <v>1692.9054000000003</v>
      </c>
      <c r="AR92" s="308">
        <v>1692.9054000000003</v>
      </c>
      <c r="AS92" s="308">
        <v>1692.9054000000003</v>
      </c>
      <c r="AT92" s="308">
        <v>1692.9054000000003</v>
      </c>
      <c r="AU92" s="308">
        <v>1692.9054000000003</v>
      </c>
      <c r="AV92" s="308">
        <v>1692.9054000000003</v>
      </c>
      <c r="AW92" s="308">
        <v>1879.1249940000005</v>
      </c>
      <c r="AX92" s="308">
        <v>1879.1249940000005</v>
      </c>
      <c r="AY92" s="308">
        <v>1879.1249940000005</v>
      </c>
    </row>
    <row r="93" spans="3:51">
      <c r="C93" s="287">
        <v>359911</v>
      </c>
      <c r="D93" t="s">
        <v>344</v>
      </c>
      <c r="E93" t="s">
        <v>353</v>
      </c>
      <c r="F93">
        <v>319</v>
      </c>
      <c r="G93" t="s">
        <v>502</v>
      </c>
      <c r="H93" s="288">
        <v>4074546914</v>
      </c>
      <c r="I93" t="s">
        <v>503</v>
      </c>
      <c r="J93" t="s">
        <v>504</v>
      </c>
      <c r="K93" s="289">
        <v>9474.48</v>
      </c>
      <c r="L93" s="290">
        <v>44562</v>
      </c>
      <c r="M93" s="290">
        <v>44927</v>
      </c>
      <c r="N93">
        <v>365</v>
      </c>
      <c r="O93" s="291" t="s">
        <v>334</v>
      </c>
      <c r="P93" t="s">
        <v>349</v>
      </c>
      <c r="Q93" s="292">
        <v>0</v>
      </c>
      <c r="R93" s="292">
        <v>1579.08</v>
      </c>
      <c r="S93" s="292">
        <v>789.54</v>
      </c>
      <c r="T93" s="292">
        <v>789.54</v>
      </c>
      <c r="U93" s="292">
        <v>789.54</v>
      </c>
      <c r="V93" s="292">
        <v>789.54</v>
      </c>
      <c r="W93" s="292">
        <v>789.54</v>
      </c>
      <c r="X93" s="292">
        <v>789.54</v>
      </c>
      <c r="Y93" s="292">
        <v>789.54</v>
      </c>
      <c r="Z93" s="292">
        <v>789.54</v>
      </c>
      <c r="AA93" s="292">
        <v>789.54</v>
      </c>
      <c r="AB93" s="292">
        <v>876.38940000000002</v>
      </c>
      <c r="AC93" s="308">
        <v>876.38940000000002</v>
      </c>
      <c r="AD93" s="308">
        <v>876.38940000000002</v>
      </c>
      <c r="AE93" s="308">
        <v>876.38940000000002</v>
      </c>
      <c r="AF93" s="308">
        <v>876.38940000000002</v>
      </c>
      <c r="AG93" s="308">
        <v>876.38940000000002</v>
      </c>
      <c r="AH93" s="308">
        <v>876.38940000000002</v>
      </c>
      <c r="AI93" s="308">
        <v>876.38940000000002</v>
      </c>
      <c r="AJ93" s="308">
        <v>876.38940000000002</v>
      </c>
      <c r="AK93" s="308">
        <v>876.38940000000002</v>
      </c>
      <c r="AL93" s="308">
        <v>876.38940000000002</v>
      </c>
      <c r="AM93" s="308">
        <v>876.38940000000002</v>
      </c>
      <c r="AN93" s="308">
        <v>972.79223400000012</v>
      </c>
      <c r="AO93" s="308">
        <v>972.79223400000012</v>
      </c>
      <c r="AP93" s="308">
        <v>972.79223400000012</v>
      </c>
      <c r="AQ93" s="308">
        <v>972.79223400000012</v>
      </c>
      <c r="AR93" s="308">
        <v>972.79223400000012</v>
      </c>
      <c r="AS93" s="308">
        <v>972.79223400000012</v>
      </c>
      <c r="AT93" s="308">
        <v>972.79223400000012</v>
      </c>
      <c r="AU93" s="308">
        <v>972.79223400000012</v>
      </c>
      <c r="AV93" s="308">
        <v>972.79223400000012</v>
      </c>
      <c r="AW93" s="308">
        <v>972.79223400000012</v>
      </c>
      <c r="AX93" s="308">
        <v>972.79223400000012</v>
      </c>
      <c r="AY93" s="308">
        <v>972.79223400000012</v>
      </c>
    </row>
    <row r="94" spans="3:51">
      <c r="C94" s="287" t="s">
        <v>505</v>
      </c>
      <c r="D94" t="s">
        <v>406</v>
      </c>
      <c r="E94" t="s">
        <v>359</v>
      </c>
      <c r="F94">
        <v>319</v>
      </c>
      <c r="G94" t="s">
        <v>506</v>
      </c>
      <c r="H94" s="288">
        <v>318175991</v>
      </c>
      <c r="I94" t="s">
        <v>507</v>
      </c>
      <c r="J94" t="s">
        <v>508</v>
      </c>
      <c r="K94" s="289">
        <v>151008</v>
      </c>
      <c r="L94" s="290">
        <v>43374</v>
      </c>
      <c r="M94" s="290">
        <v>45199</v>
      </c>
      <c r="N94">
        <v>1825</v>
      </c>
      <c r="O94" s="291" t="s">
        <v>334</v>
      </c>
      <c r="P94" t="s">
        <v>349</v>
      </c>
      <c r="Q94" s="292">
        <v>30201.599999999995</v>
      </c>
      <c r="R94" s="292">
        <v>7550.4000000000005</v>
      </c>
      <c r="S94" s="292">
        <v>2516.8000000000002</v>
      </c>
      <c r="T94" s="292">
        <v>2516.8000000000002</v>
      </c>
      <c r="U94" s="292">
        <v>2516.8000000000002</v>
      </c>
      <c r="V94" s="292">
        <v>2516.8000000000002</v>
      </c>
      <c r="W94" s="292">
        <v>2516.8000000000002</v>
      </c>
      <c r="X94" s="292">
        <v>2516.8000000000002</v>
      </c>
      <c r="Y94" s="292">
        <v>2793.6480000000006</v>
      </c>
      <c r="Z94" s="292">
        <v>2793.6480000000006</v>
      </c>
      <c r="AA94" s="292">
        <v>2793.6480000000006</v>
      </c>
      <c r="AB94" s="292">
        <v>2793.6480000000006</v>
      </c>
      <c r="AC94" s="292">
        <v>2793.6480000000006</v>
      </c>
      <c r="AD94" s="292">
        <v>2793.6480000000006</v>
      </c>
      <c r="AE94" s="292">
        <v>2793.6480000000006</v>
      </c>
      <c r="AF94" s="292">
        <v>2793.6480000000006</v>
      </c>
      <c r="AG94" s="292">
        <v>2793.6480000000006</v>
      </c>
      <c r="AH94" s="292">
        <v>2793.6480000000006</v>
      </c>
      <c r="AI94" s="292">
        <v>2793.6480000000006</v>
      </c>
      <c r="AJ94" s="292">
        <v>2793.6480000000006</v>
      </c>
      <c r="AK94" s="308">
        <v>3100.9492800000007</v>
      </c>
      <c r="AL94" s="308">
        <v>3100.9492800000007</v>
      </c>
      <c r="AM94" s="308">
        <v>3100.9492800000007</v>
      </c>
      <c r="AN94" s="308">
        <v>3100.9492800000007</v>
      </c>
      <c r="AO94" s="308">
        <v>3100.9492800000007</v>
      </c>
      <c r="AP94" s="308">
        <v>3100.9492800000007</v>
      </c>
      <c r="AQ94" s="308">
        <v>3100.9492800000007</v>
      </c>
      <c r="AR94" s="308">
        <v>3100.9492800000007</v>
      </c>
      <c r="AS94" s="308">
        <v>3100.9492800000007</v>
      </c>
      <c r="AT94" s="308">
        <v>3100.9492800000007</v>
      </c>
      <c r="AU94" s="308">
        <v>3100.9492800000007</v>
      </c>
      <c r="AV94" s="308">
        <v>3100.9492800000007</v>
      </c>
      <c r="AW94" s="308">
        <v>3442.053700800001</v>
      </c>
      <c r="AX94" s="308">
        <v>3442.053700800001</v>
      </c>
      <c r="AY94" s="308">
        <v>3442.053700800001</v>
      </c>
    </row>
    <row r="95" spans="3:51">
      <c r="C95" s="287">
        <v>358219</v>
      </c>
      <c r="D95" t="s">
        <v>344</v>
      </c>
      <c r="E95" t="s">
        <v>353</v>
      </c>
      <c r="F95">
        <v>319</v>
      </c>
      <c r="G95" t="s">
        <v>509</v>
      </c>
      <c r="H95" s="288">
        <v>63575272972</v>
      </c>
      <c r="I95" t="s">
        <v>510</v>
      </c>
      <c r="J95" t="s">
        <v>511</v>
      </c>
      <c r="K95" s="289">
        <v>10830.2</v>
      </c>
      <c r="L95" s="290">
        <v>44531</v>
      </c>
      <c r="M95" s="290">
        <v>44895</v>
      </c>
      <c r="N95">
        <v>364</v>
      </c>
      <c r="O95" s="291" t="s">
        <v>334</v>
      </c>
      <c r="P95" t="s">
        <v>349</v>
      </c>
      <c r="Q95" s="292">
        <v>0</v>
      </c>
      <c r="R95" s="292">
        <v>2582.5500000000002</v>
      </c>
      <c r="S95" s="292">
        <v>703.25</v>
      </c>
      <c r="T95" s="292">
        <v>703.25</v>
      </c>
      <c r="U95" s="292">
        <v>703.25</v>
      </c>
      <c r="V95" s="292">
        <v>703.25</v>
      </c>
      <c r="W95" s="292">
        <v>703.25</v>
      </c>
      <c r="X95" s="292">
        <v>703.25</v>
      </c>
      <c r="Y95" s="292">
        <v>703.25</v>
      </c>
      <c r="Z95" s="292">
        <v>703.25</v>
      </c>
      <c r="AA95" s="308">
        <v>780.60750000000007</v>
      </c>
      <c r="AB95" s="308">
        <v>780.60750000000007</v>
      </c>
      <c r="AC95" s="308">
        <v>780.60750000000007</v>
      </c>
      <c r="AD95" s="308">
        <v>780.60750000000007</v>
      </c>
      <c r="AE95" s="308">
        <v>780.60750000000007</v>
      </c>
      <c r="AF95" s="308">
        <v>780.60750000000007</v>
      </c>
      <c r="AG95" s="308">
        <v>780.60750000000007</v>
      </c>
      <c r="AH95" s="308">
        <v>780.60750000000007</v>
      </c>
      <c r="AI95" s="308">
        <v>780.60750000000007</v>
      </c>
      <c r="AJ95" s="308">
        <v>780.60750000000007</v>
      </c>
      <c r="AK95" s="308">
        <v>780.60750000000007</v>
      </c>
      <c r="AL95" s="308">
        <v>780.60750000000007</v>
      </c>
      <c r="AM95" s="308">
        <v>866.47432500000014</v>
      </c>
      <c r="AN95" s="308">
        <v>866.47432500000014</v>
      </c>
      <c r="AO95" s="308">
        <v>866.47432500000014</v>
      </c>
      <c r="AP95" s="308">
        <v>866.47432500000014</v>
      </c>
      <c r="AQ95" s="308">
        <v>866.47432500000014</v>
      </c>
      <c r="AR95" s="308">
        <v>866.47432500000014</v>
      </c>
      <c r="AS95" s="308">
        <v>866.47432500000014</v>
      </c>
      <c r="AT95" s="308">
        <v>866.47432500000014</v>
      </c>
      <c r="AU95" s="308">
        <v>866.47432500000014</v>
      </c>
      <c r="AV95" s="308">
        <v>866.47432500000014</v>
      </c>
      <c r="AW95" s="308">
        <v>866.47432500000014</v>
      </c>
      <c r="AX95" s="308">
        <v>866.47432500000014</v>
      </c>
      <c r="AY95" s="308">
        <v>961.78650075000019</v>
      </c>
    </row>
    <row r="96" spans="3:51">
      <c r="C96" s="287">
        <v>351824</v>
      </c>
      <c r="D96" t="s">
        <v>344</v>
      </c>
      <c r="E96" t="s">
        <v>345</v>
      </c>
      <c r="F96">
        <v>319</v>
      </c>
      <c r="G96" t="s">
        <v>512</v>
      </c>
      <c r="H96" s="288">
        <v>52449394915</v>
      </c>
      <c r="I96" t="s">
        <v>513</v>
      </c>
      <c r="J96" t="s">
        <v>514</v>
      </c>
      <c r="K96" s="289">
        <v>10480</v>
      </c>
      <c r="L96" s="290">
        <v>44409</v>
      </c>
      <c r="M96" s="290">
        <v>44773</v>
      </c>
      <c r="N96">
        <v>364</v>
      </c>
      <c r="O96" s="291" t="s">
        <v>334</v>
      </c>
      <c r="P96" t="s">
        <v>349</v>
      </c>
      <c r="Q96" s="292">
        <v>4200</v>
      </c>
      <c r="R96" s="292">
        <v>2520</v>
      </c>
      <c r="S96" s="292">
        <v>1300</v>
      </c>
      <c r="T96" s="292">
        <v>1300</v>
      </c>
      <c r="U96" s="292">
        <v>1300</v>
      </c>
      <c r="V96" s="292">
        <v>1300</v>
      </c>
      <c r="W96" s="308">
        <v>1443.0000000000002</v>
      </c>
      <c r="X96" s="308">
        <v>1443.0000000000002</v>
      </c>
      <c r="Y96" s="308">
        <v>1443.0000000000002</v>
      </c>
      <c r="Z96" s="308">
        <v>1443.0000000000002</v>
      </c>
      <c r="AA96" s="308">
        <v>1443.0000000000002</v>
      </c>
      <c r="AB96" s="308">
        <v>1443.0000000000002</v>
      </c>
      <c r="AC96" s="308">
        <v>1443.0000000000002</v>
      </c>
      <c r="AD96" s="308">
        <v>1443.0000000000002</v>
      </c>
      <c r="AE96" s="308">
        <v>1443.0000000000002</v>
      </c>
      <c r="AF96" s="308">
        <v>1443.0000000000002</v>
      </c>
      <c r="AG96" s="308">
        <v>1443.0000000000002</v>
      </c>
      <c r="AH96" s="308">
        <v>1443.0000000000002</v>
      </c>
      <c r="AI96" s="308">
        <v>1601.7300000000005</v>
      </c>
      <c r="AJ96" s="308">
        <v>1601.7300000000005</v>
      </c>
      <c r="AK96" s="308">
        <v>1601.7300000000005</v>
      </c>
      <c r="AL96" s="308">
        <v>1601.7300000000005</v>
      </c>
      <c r="AM96" s="308">
        <v>1601.7300000000005</v>
      </c>
      <c r="AN96" s="308">
        <v>1601.7300000000005</v>
      </c>
      <c r="AO96" s="308">
        <v>1601.7300000000005</v>
      </c>
      <c r="AP96" s="308">
        <v>1601.7300000000005</v>
      </c>
      <c r="AQ96" s="308">
        <v>1601.7300000000005</v>
      </c>
      <c r="AR96" s="308">
        <v>1601.73</v>
      </c>
      <c r="AS96" s="308">
        <v>1601.73</v>
      </c>
      <c r="AT96" s="308">
        <v>1601.73</v>
      </c>
      <c r="AU96" s="308">
        <v>1777.9203000000002</v>
      </c>
      <c r="AV96" s="308">
        <v>1777.9203000000002</v>
      </c>
      <c r="AW96" s="308">
        <v>1777.9203000000002</v>
      </c>
      <c r="AX96" s="308">
        <v>1777.9203000000002</v>
      </c>
      <c r="AY96" s="308">
        <v>1777.9203000000002</v>
      </c>
    </row>
    <row r="97" spans="3:51">
      <c r="C97" s="287">
        <v>357863</v>
      </c>
      <c r="D97" t="s">
        <v>473</v>
      </c>
      <c r="E97" t="s">
        <v>384</v>
      </c>
      <c r="F97">
        <v>319</v>
      </c>
      <c r="G97" t="s">
        <v>515</v>
      </c>
      <c r="H97" s="288">
        <v>81116444000199</v>
      </c>
      <c r="I97" t="s">
        <v>516</v>
      </c>
      <c r="J97" t="s">
        <v>517</v>
      </c>
      <c r="K97" s="289">
        <v>1037000</v>
      </c>
      <c r="L97" s="290">
        <v>44531</v>
      </c>
      <c r="M97" s="290">
        <v>45260</v>
      </c>
      <c r="N97">
        <v>729</v>
      </c>
      <c r="O97" s="291" t="s">
        <v>334</v>
      </c>
      <c r="P97" t="s">
        <v>349</v>
      </c>
      <c r="Q97" s="292">
        <v>0</v>
      </c>
      <c r="R97" s="292">
        <v>149778.38</v>
      </c>
      <c r="S97" s="292">
        <v>40786</v>
      </c>
      <c r="T97" s="292">
        <v>40786</v>
      </c>
      <c r="U97" s="292">
        <v>40786</v>
      </c>
      <c r="V97" s="292">
        <v>40786</v>
      </c>
      <c r="W97" s="292">
        <v>40786</v>
      </c>
      <c r="X97" s="292">
        <v>40786</v>
      </c>
      <c r="Y97" s="292">
        <v>40786</v>
      </c>
      <c r="Z97" s="292">
        <v>40786</v>
      </c>
      <c r="AA97" s="292">
        <v>45272.460000000006</v>
      </c>
      <c r="AB97" s="292">
        <v>45272.460000000006</v>
      </c>
      <c r="AC97" s="292">
        <v>45272.460000000006</v>
      </c>
      <c r="AD97" s="292">
        <v>45272.460000000006</v>
      </c>
      <c r="AE97" s="292">
        <v>45272.460000000006</v>
      </c>
      <c r="AF97" s="292">
        <v>45272.460000000006</v>
      </c>
      <c r="AG97" s="292">
        <v>45272.460000000006</v>
      </c>
      <c r="AH97" s="292">
        <v>45272.460000000006</v>
      </c>
      <c r="AI97" s="292">
        <v>45272.460000000006</v>
      </c>
      <c r="AJ97" s="292">
        <v>45272.460000000006</v>
      </c>
      <c r="AK97" s="292">
        <v>45272.460000000006</v>
      </c>
      <c r="AL97" s="292">
        <v>45272.460000000006</v>
      </c>
      <c r="AM97" s="308">
        <v>50252.430600000014</v>
      </c>
      <c r="AN97" s="308">
        <v>50252.430600000014</v>
      </c>
      <c r="AO97" s="308">
        <v>50252.430600000014</v>
      </c>
      <c r="AP97" s="308">
        <v>50252.430600000014</v>
      </c>
      <c r="AQ97" s="308">
        <v>50252.430600000014</v>
      </c>
      <c r="AR97" s="308">
        <v>50252.430600000014</v>
      </c>
      <c r="AS97" s="308">
        <v>50252.430600000014</v>
      </c>
      <c r="AT97" s="308">
        <v>50252.430600000014</v>
      </c>
      <c r="AU97" s="308">
        <v>50252.430600000014</v>
      </c>
      <c r="AV97" s="308">
        <v>50252.430600000014</v>
      </c>
      <c r="AW97" s="308">
        <v>50252.430600000014</v>
      </c>
      <c r="AX97" s="308">
        <v>50252.430600000014</v>
      </c>
      <c r="AY97" s="308">
        <v>55780.197966000022</v>
      </c>
    </row>
    <row r="98" spans="3:51">
      <c r="C98" s="320" t="s">
        <v>518</v>
      </c>
      <c r="D98" t="s">
        <v>406</v>
      </c>
      <c r="E98" t="s">
        <v>359</v>
      </c>
      <c r="F98">
        <v>319</v>
      </c>
      <c r="G98" t="s">
        <v>515</v>
      </c>
      <c r="H98" s="288">
        <v>534630995</v>
      </c>
      <c r="I98" t="s">
        <v>519</v>
      </c>
      <c r="J98" t="s">
        <v>520</v>
      </c>
      <c r="K98" s="289">
        <v>208959.84</v>
      </c>
      <c r="L98" s="290">
        <v>43374</v>
      </c>
      <c r="M98" s="290">
        <v>45200</v>
      </c>
      <c r="N98">
        <v>1826</v>
      </c>
      <c r="O98" s="291" t="s">
        <v>334</v>
      </c>
      <c r="P98" t="s">
        <v>349</v>
      </c>
      <c r="Q98" s="292">
        <v>48636.749999999985</v>
      </c>
      <c r="R98" s="292">
        <v>12874.439999999999</v>
      </c>
      <c r="S98" s="292">
        <v>4291.4799999999996</v>
      </c>
      <c r="T98" s="292">
        <v>4291.4799999999996</v>
      </c>
      <c r="U98" s="292">
        <v>4291.4799999999996</v>
      </c>
      <c r="V98" s="292">
        <v>4291.4799999999996</v>
      </c>
      <c r="W98" s="292">
        <v>4291.4799999999996</v>
      </c>
      <c r="X98" s="292">
        <v>4291.4799999999996</v>
      </c>
      <c r="Y98" s="292">
        <v>4291.4799999999996</v>
      </c>
      <c r="Z98" s="292">
        <v>4763.5428000000002</v>
      </c>
      <c r="AA98" s="292">
        <v>4763.5428000000002</v>
      </c>
      <c r="AB98" s="292">
        <v>4763.5428000000002</v>
      </c>
      <c r="AC98" s="292">
        <v>4763.5428000000002</v>
      </c>
      <c r="AD98" s="292">
        <v>4763.5428000000002</v>
      </c>
      <c r="AE98" s="292">
        <v>4763.5428000000002</v>
      </c>
      <c r="AF98" s="292">
        <v>4763.5428000000002</v>
      </c>
      <c r="AG98" s="292">
        <v>4763.5428000000002</v>
      </c>
      <c r="AH98" s="292">
        <v>4763.5428000000002</v>
      </c>
      <c r="AI98" s="292">
        <v>4763.5428000000002</v>
      </c>
      <c r="AJ98" s="292">
        <v>4763.5428000000002</v>
      </c>
      <c r="AK98" s="292">
        <v>4763.5428000000002</v>
      </c>
      <c r="AL98" s="308">
        <v>5287.5325080000002</v>
      </c>
      <c r="AM98" s="308">
        <v>5287.5325080000002</v>
      </c>
      <c r="AN98" s="308">
        <v>5287.5325080000002</v>
      </c>
      <c r="AO98" s="308">
        <v>5287.5325080000002</v>
      </c>
      <c r="AP98" s="308">
        <v>5287.5325080000002</v>
      </c>
      <c r="AQ98" s="308">
        <v>5287.5325080000002</v>
      </c>
      <c r="AR98" s="308">
        <v>5287.5325080000002</v>
      </c>
      <c r="AS98" s="308">
        <v>5287.5325080000002</v>
      </c>
      <c r="AT98" s="308">
        <v>5287.5325080000002</v>
      </c>
      <c r="AU98" s="308">
        <v>5287.5325080000002</v>
      </c>
      <c r="AV98" s="308">
        <v>5287.5325080000002</v>
      </c>
      <c r="AW98" s="308">
        <v>5287.5325080000002</v>
      </c>
      <c r="AX98" s="308">
        <v>5869.1610838800007</v>
      </c>
      <c r="AY98" s="308">
        <v>5869.1610838800007</v>
      </c>
    </row>
    <row r="99" spans="3:51">
      <c r="C99" s="287">
        <v>334687</v>
      </c>
      <c r="D99" t="s">
        <v>344</v>
      </c>
      <c r="E99" t="s">
        <v>359</v>
      </c>
      <c r="F99">
        <v>319</v>
      </c>
      <c r="G99" t="s">
        <v>515</v>
      </c>
      <c r="H99" s="288">
        <v>2168880000135</v>
      </c>
      <c r="I99" t="s">
        <v>521</v>
      </c>
      <c r="J99" t="s">
        <v>522</v>
      </c>
      <c r="K99" s="289">
        <v>851721.48</v>
      </c>
      <c r="L99" s="290">
        <v>44013</v>
      </c>
      <c r="M99" s="290">
        <v>45473</v>
      </c>
      <c r="N99">
        <v>1460</v>
      </c>
      <c r="O99" s="291" t="s">
        <v>334</v>
      </c>
      <c r="P99" t="s">
        <v>349</v>
      </c>
      <c r="Q99" s="292">
        <v>212276.04</v>
      </c>
      <c r="R99" s="292">
        <v>59989.65</v>
      </c>
      <c r="S99" s="292">
        <v>17000</v>
      </c>
      <c r="T99" s="292">
        <v>17000</v>
      </c>
      <c r="U99" s="292">
        <v>17000</v>
      </c>
      <c r="V99" s="292">
        <v>18870</v>
      </c>
      <c r="W99" s="292">
        <v>18870</v>
      </c>
      <c r="X99" s="292">
        <v>18870</v>
      </c>
      <c r="Y99" s="292">
        <v>18870</v>
      </c>
      <c r="Z99" s="292">
        <v>18870</v>
      </c>
      <c r="AA99" s="292">
        <v>18870</v>
      </c>
      <c r="AB99" s="292">
        <v>18870</v>
      </c>
      <c r="AC99" s="292">
        <v>18870</v>
      </c>
      <c r="AD99" s="292">
        <v>18870</v>
      </c>
      <c r="AE99" s="292">
        <v>18870</v>
      </c>
      <c r="AF99" s="292">
        <v>18870</v>
      </c>
      <c r="AG99" s="292">
        <v>18870</v>
      </c>
      <c r="AH99" s="292">
        <v>20945.7</v>
      </c>
      <c r="AI99" s="292">
        <v>20945.7</v>
      </c>
      <c r="AJ99" s="292">
        <v>20945.7</v>
      </c>
      <c r="AK99" s="292">
        <v>20945.7</v>
      </c>
      <c r="AL99" s="292">
        <v>20945.7</v>
      </c>
      <c r="AM99" s="292">
        <v>20945.7</v>
      </c>
      <c r="AN99" s="292">
        <v>20945.7</v>
      </c>
      <c r="AO99" s="292">
        <v>20945.7</v>
      </c>
      <c r="AP99" s="292">
        <v>20945.7</v>
      </c>
      <c r="AQ99" s="292">
        <v>20945.7</v>
      </c>
      <c r="AR99" s="292">
        <v>20945.7</v>
      </c>
      <c r="AS99" s="292">
        <v>20945.7</v>
      </c>
      <c r="AT99" s="308">
        <v>23249.727000000003</v>
      </c>
      <c r="AU99" s="308">
        <v>23249.727000000003</v>
      </c>
      <c r="AV99" s="308">
        <v>23249.727000000003</v>
      </c>
      <c r="AW99" s="308">
        <v>23249.727000000003</v>
      </c>
      <c r="AX99" s="308">
        <v>23249.727000000003</v>
      </c>
      <c r="AY99" s="308">
        <v>23249.727000000003</v>
      </c>
    </row>
    <row r="100" spans="3:51">
      <c r="C100" s="287">
        <v>351049</v>
      </c>
      <c r="D100" t="s">
        <v>473</v>
      </c>
      <c r="E100" t="s">
        <v>353</v>
      </c>
      <c r="F100">
        <v>319</v>
      </c>
      <c r="G100" t="s">
        <v>515</v>
      </c>
      <c r="H100" s="302">
        <v>75232454000197</v>
      </c>
      <c r="I100" t="s">
        <v>523</v>
      </c>
      <c r="J100" t="s">
        <v>524</v>
      </c>
      <c r="K100" s="289">
        <v>637263</v>
      </c>
      <c r="L100" s="290">
        <v>44350</v>
      </c>
      <c r="M100" s="290">
        <v>45079</v>
      </c>
      <c r="N100">
        <v>729</v>
      </c>
      <c r="O100" s="291" t="s">
        <v>334</v>
      </c>
      <c r="P100" t="s">
        <v>349</v>
      </c>
      <c r="Q100" s="292">
        <v>150000</v>
      </c>
      <c r="R100" s="292">
        <v>92559.87</v>
      </c>
      <c r="S100" s="292">
        <v>25000</v>
      </c>
      <c r="T100" s="292">
        <v>25000</v>
      </c>
      <c r="U100" s="292">
        <v>25000</v>
      </c>
      <c r="V100" s="292">
        <v>27750.000000000004</v>
      </c>
      <c r="W100" s="292">
        <v>27750.000000000004</v>
      </c>
      <c r="X100" s="292">
        <v>27750.000000000004</v>
      </c>
      <c r="Y100" s="292">
        <v>27750.000000000004</v>
      </c>
      <c r="Z100" s="292">
        <v>27750.000000000004</v>
      </c>
      <c r="AA100" s="292">
        <v>27750.000000000004</v>
      </c>
      <c r="AB100" s="292">
        <v>27750.000000000004</v>
      </c>
      <c r="AC100" s="292">
        <v>27750.000000000004</v>
      </c>
      <c r="AD100" s="292">
        <v>27750.000000000004</v>
      </c>
      <c r="AE100" s="292">
        <v>27750.000000000004</v>
      </c>
      <c r="AF100" s="292">
        <v>27750.000000000004</v>
      </c>
      <c r="AG100" s="292">
        <v>27750.000000000004</v>
      </c>
      <c r="AH100" s="308">
        <v>30802.500000000007</v>
      </c>
      <c r="AI100" s="308">
        <v>30802.500000000007</v>
      </c>
      <c r="AJ100" s="308">
        <v>30802.500000000007</v>
      </c>
      <c r="AK100" s="308">
        <v>30802.500000000007</v>
      </c>
      <c r="AL100" s="308">
        <v>30802.500000000007</v>
      </c>
      <c r="AM100" s="308">
        <v>30802.500000000007</v>
      </c>
      <c r="AN100" s="308">
        <v>30802.500000000007</v>
      </c>
      <c r="AO100" s="308">
        <v>30802.500000000007</v>
      </c>
      <c r="AP100" s="308">
        <v>30802.500000000007</v>
      </c>
      <c r="AQ100" s="308">
        <v>30802.500000000007</v>
      </c>
      <c r="AR100" s="308">
        <v>30802.500000000007</v>
      </c>
      <c r="AS100" s="308">
        <v>30802.500000000007</v>
      </c>
      <c r="AT100" s="308">
        <v>34190.775000000009</v>
      </c>
      <c r="AU100" s="308">
        <v>34190.775000000009</v>
      </c>
      <c r="AV100" s="308">
        <v>34190.775000000009</v>
      </c>
      <c r="AW100" s="308">
        <v>34190.775000000009</v>
      </c>
      <c r="AX100" s="308">
        <v>34190.775000000009</v>
      </c>
      <c r="AY100" s="308">
        <v>34190.775000000009</v>
      </c>
    </row>
    <row r="101" spans="3:51">
      <c r="C101" s="287">
        <v>342056</v>
      </c>
      <c r="D101" t="s">
        <v>344</v>
      </c>
      <c r="E101" t="s">
        <v>345</v>
      </c>
      <c r="F101">
        <v>319</v>
      </c>
      <c r="G101" t="s">
        <v>525</v>
      </c>
      <c r="H101" s="288">
        <v>58759891904</v>
      </c>
      <c r="I101" t="s">
        <v>526</v>
      </c>
      <c r="J101" t="s">
        <v>527</v>
      </c>
      <c r="K101" s="289">
        <v>28025.279999999999</v>
      </c>
      <c r="L101" s="290">
        <v>44075</v>
      </c>
      <c r="M101" s="290">
        <v>44804</v>
      </c>
      <c r="N101">
        <v>729</v>
      </c>
      <c r="O101" s="291" t="s">
        <v>334</v>
      </c>
      <c r="P101" t="s">
        <v>349</v>
      </c>
      <c r="Q101" s="292">
        <v>14012.64</v>
      </c>
      <c r="R101" s="292">
        <v>3503.16</v>
      </c>
      <c r="S101" s="292">
        <v>1167.72</v>
      </c>
      <c r="T101" s="292">
        <v>1167.72</v>
      </c>
      <c r="U101" s="292">
        <v>1167.72</v>
      </c>
      <c r="V101" s="292">
        <v>1167.72</v>
      </c>
      <c r="W101" s="292">
        <v>1167.72</v>
      </c>
      <c r="X101" s="308">
        <v>1296.1692</v>
      </c>
      <c r="Y101" s="308">
        <v>1296.1692</v>
      </c>
      <c r="Z101" s="308">
        <v>1296.1692</v>
      </c>
      <c r="AA101" s="308">
        <v>1296.1692</v>
      </c>
      <c r="AB101" s="308">
        <v>1296.1692</v>
      </c>
      <c r="AC101" s="308">
        <v>1296.1692</v>
      </c>
      <c r="AD101" s="308">
        <v>1296.1692</v>
      </c>
      <c r="AE101" s="308">
        <v>1296.1692</v>
      </c>
      <c r="AF101" s="308">
        <v>1296.1692</v>
      </c>
      <c r="AG101" s="308">
        <v>1296.1692</v>
      </c>
      <c r="AH101" s="308">
        <v>1296.1692</v>
      </c>
      <c r="AI101" s="308">
        <v>1296.1692</v>
      </c>
      <c r="AJ101" s="308">
        <v>1438.7478120000001</v>
      </c>
      <c r="AK101" s="308">
        <v>1438.7478120000001</v>
      </c>
      <c r="AL101" s="308">
        <v>1438.7478120000001</v>
      </c>
      <c r="AM101" s="308">
        <v>1438.7478120000001</v>
      </c>
      <c r="AN101" s="308">
        <v>1438.7478120000001</v>
      </c>
      <c r="AO101" s="308">
        <v>1438.7478120000001</v>
      </c>
      <c r="AP101" s="308">
        <v>1438.7478120000001</v>
      </c>
      <c r="AQ101" s="308">
        <v>1438.7478120000001</v>
      </c>
      <c r="AR101" s="308">
        <v>1438.7478120000001</v>
      </c>
      <c r="AS101" s="308">
        <v>1438.7478120000001</v>
      </c>
      <c r="AT101" s="308">
        <v>1438.7478120000001</v>
      </c>
      <c r="AU101" s="308">
        <v>1438.7478120000001</v>
      </c>
      <c r="AV101" s="308">
        <v>1597.0100713200002</v>
      </c>
      <c r="AW101" s="308">
        <v>1597.0100713200002</v>
      </c>
      <c r="AX101" s="308">
        <v>1597.0100713200002</v>
      </c>
      <c r="AY101" s="308">
        <v>1597.0100713200002</v>
      </c>
    </row>
    <row r="102" spans="3:51">
      <c r="C102" s="287">
        <v>325427</v>
      </c>
      <c r="D102" t="s">
        <v>344</v>
      </c>
      <c r="E102" t="s">
        <v>345</v>
      </c>
      <c r="F102">
        <v>319</v>
      </c>
      <c r="G102" t="s">
        <v>528</v>
      </c>
      <c r="H102" s="288">
        <v>33766096915</v>
      </c>
      <c r="I102" t="s">
        <v>529</v>
      </c>
      <c r="J102" t="s">
        <v>530</v>
      </c>
      <c r="K102" s="289">
        <v>39600</v>
      </c>
      <c r="L102" s="290">
        <v>43784</v>
      </c>
      <c r="M102" s="290">
        <v>44879</v>
      </c>
      <c r="N102">
        <v>1095</v>
      </c>
      <c r="O102" s="291" t="s">
        <v>334</v>
      </c>
      <c r="P102" t="s">
        <v>349</v>
      </c>
      <c r="Q102" s="292">
        <v>13200</v>
      </c>
      <c r="R102" s="292">
        <v>4600</v>
      </c>
      <c r="S102" s="292">
        <v>1300</v>
      </c>
      <c r="T102" s="292">
        <v>1300</v>
      </c>
      <c r="U102" s="292">
        <v>1300</v>
      </c>
      <c r="V102" s="292">
        <v>1300</v>
      </c>
      <c r="W102" s="292">
        <v>1300</v>
      </c>
      <c r="X102" s="292">
        <v>1300</v>
      </c>
      <c r="Y102" s="292">
        <v>1300</v>
      </c>
      <c r="Z102" s="292">
        <v>1300</v>
      </c>
      <c r="AA102" s="308">
        <v>1443.0000000000002</v>
      </c>
      <c r="AB102" s="308">
        <v>1443.0000000000002</v>
      </c>
      <c r="AC102" s="308">
        <v>1443.0000000000002</v>
      </c>
      <c r="AD102" s="308">
        <v>1443.0000000000002</v>
      </c>
      <c r="AE102" s="308">
        <v>1443.0000000000002</v>
      </c>
      <c r="AF102" s="308">
        <v>1443.0000000000002</v>
      </c>
      <c r="AG102" s="308">
        <v>1443.0000000000002</v>
      </c>
      <c r="AH102" s="308">
        <v>1443.0000000000002</v>
      </c>
      <c r="AI102" s="308">
        <v>1443.0000000000002</v>
      </c>
      <c r="AJ102" s="308">
        <v>1443.0000000000002</v>
      </c>
      <c r="AK102" s="308">
        <v>1443.0000000000002</v>
      </c>
      <c r="AL102" s="308">
        <v>1443.0000000000002</v>
      </c>
      <c r="AM102" s="308">
        <v>1601.7300000000005</v>
      </c>
      <c r="AN102" s="308">
        <v>1601.7300000000005</v>
      </c>
      <c r="AO102" s="308">
        <v>1601.7300000000005</v>
      </c>
      <c r="AP102" s="308">
        <v>1601.7300000000005</v>
      </c>
      <c r="AQ102" s="308">
        <v>1601.7300000000005</v>
      </c>
      <c r="AR102" s="308">
        <v>1601.7300000000005</v>
      </c>
      <c r="AS102" s="308">
        <v>1601.7300000000005</v>
      </c>
      <c r="AT102" s="308">
        <v>1601.7300000000005</v>
      </c>
      <c r="AU102" s="308">
        <v>1601.7300000000005</v>
      </c>
      <c r="AV102" s="308">
        <v>1601.7300000000005</v>
      </c>
      <c r="AW102" s="308">
        <v>1601.7300000000005</v>
      </c>
      <c r="AX102" s="308">
        <v>1601.7300000000005</v>
      </c>
      <c r="AY102" s="308">
        <v>1777.9203000000007</v>
      </c>
    </row>
    <row r="103" spans="3:51">
      <c r="C103" s="287">
        <v>356752</v>
      </c>
      <c r="D103" t="s">
        <v>344</v>
      </c>
      <c r="E103" t="s">
        <v>345</v>
      </c>
      <c r="F103">
        <v>319</v>
      </c>
      <c r="G103" t="s">
        <v>531</v>
      </c>
      <c r="H103" s="288">
        <v>44948760978</v>
      </c>
      <c r="I103" t="s">
        <v>532</v>
      </c>
      <c r="J103" t="s">
        <v>533</v>
      </c>
      <c r="K103" s="289">
        <v>366060</v>
      </c>
      <c r="L103" s="290">
        <v>44502</v>
      </c>
      <c r="M103" s="290">
        <v>45231</v>
      </c>
      <c r="N103">
        <v>729</v>
      </c>
      <c r="O103" s="291" t="s">
        <v>334</v>
      </c>
      <c r="P103" t="s">
        <v>349</v>
      </c>
      <c r="Q103" s="292">
        <v>133361.82999999999</v>
      </c>
      <c r="R103" s="292">
        <v>43078.84</v>
      </c>
      <c r="S103" s="292">
        <v>14777.5</v>
      </c>
      <c r="T103" s="292">
        <v>14777.5</v>
      </c>
      <c r="U103" s="292">
        <v>14777.5</v>
      </c>
      <c r="V103" s="292">
        <v>14777.5</v>
      </c>
      <c r="W103" s="292">
        <v>14777.5</v>
      </c>
      <c r="X103" s="292">
        <v>14777.5</v>
      </c>
      <c r="Y103" s="292">
        <v>14777.5</v>
      </c>
      <c r="Z103" s="292">
        <v>16403.025000000001</v>
      </c>
      <c r="AA103" s="292">
        <v>16403.025000000001</v>
      </c>
      <c r="AB103" s="292">
        <v>16403.025000000001</v>
      </c>
      <c r="AC103" s="292">
        <v>16403.025000000001</v>
      </c>
      <c r="AD103" s="292">
        <v>16403.025000000001</v>
      </c>
      <c r="AE103" s="292">
        <v>16403.025000000001</v>
      </c>
      <c r="AF103" s="292">
        <v>16403.025000000001</v>
      </c>
      <c r="AG103" s="292">
        <v>16403.025000000001</v>
      </c>
      <c r="AH103" s="292">
        <v>16403.025000000001</v>
      </c>
      <c r="AI103" s="292">
        <v>16403.025000000001</v>
      </c>
      <c r="AJ103" s="292">
        <v>16403.025000000001</v>
      </c>
      <c r="AK103" s="292">
        <v>16403.025000000001</v>
      </c>
      <c r="AL103" s="292">
        <v>18207.357750000003</v>
      </c>
      <c r="AM103" s="308">
        <v>18207.357750000003</v>
      </c>
      <c r="AN103" s="308">
        <v>18207.357750000003</v>
      </c>
      <c r="AO103" s="308">
        <v>18207.357750000003</v>
      </c>
      <c r="AP103" s="308">
        <v>18207.357750000003</v>
      </c>
      <c r="AQ103" s="308">
        <v>18207.357750000003</v>
      </c>
      <c r="AR103" s="308">
        <v>18207.357750000003</v>
      </c>
      <c r="AS103" s="308">
        <v>18207.357750000003</v>
      </c>
      <c r="AT103" s="308">
        <v>18207.357750000003</v>
      </c>
      <c r="AU103" s="308">
        <v>18207.357750000003</v>
      </c>
      <c r="AV103" s="308">
        <v>18207.357750000003</v>
      </c>
      <c r="AW103" s="308">
        <v>18207.357750000003</v>
      </c>
      <c r="AX103" s="308">
        <v>20210.167102500003</v>
      </c>
      <c r="AY103" s="308">
        <v>22433.285483775006</v>
      </c>
    </row>
    <row r="104" spans="3:51">
      <c r="C104" s="287">
        <v>354624</v>
      </c>
      <c r="D104" t="s">
        <v>344</v>
      </c>
      <c r="E104" t="s">
        <v>345</v>
      </c>
      <c r="F104">
        <v>319</v>
      </c>
      <c r="G104" t="s">
        <v>531</v>
      </c>
      <c r="H104" s="288">
        <v>74679198915</v>
      </c>
      <c r="I104" t="s">
        <v>534</v>
      </c>
      <c r="J104" t="s">
        <v>535</v>
      </c>
      <c r="K104" s="289">
        <v>51900</v>
      </c>
      <c r="L104" s="290">
        <v>44470</v>
      </c>
      <c r="M104" s="290">
        <v>44834</v>
      </c>
      <c r="N104">
        <v>364</v>
      </c>
      <c r="O104" s="291" t="s">
        <v>334</v>
      </c>
      <c r="P104" t="s">
        <v>349</v>
      </c>
      <c r="Q104" s="292">
        <v>8000</v>
      </c>
      <c r="R104" s="292">
        <v>14502.029999999999</v>
      </c>
      <c r="S104" s="292">
        <v>4000</v>
      </c>
      <c r="T104" s="292">
        <v>4000</v>
      </c>
      <c r="U104" s="292">
        <v>4000</v>
      </c>
      <c r="V104" s="292">
        <v>4000</v>
      </c>
      <c r="W104" s="292">
        <v>4000</v>
      </c>
      <c r="X104" s="292">
        <v>4000</v>
      </c>
      <c r="Y104" s="308">
        <v>4440</v>
      </c>
      <c r="Z104" s="308">
        <v>4440</v>
      </c>
      <c r="AA104" s="308">
        <v>4440</v>
      </c>
      <c r="AB104" s="308">
        <v>4440</v>
      </c>
      <c r="AC104" s="308">
        <v>4440</v>
      </c>
      <c r="AD104" s="308">
        <v>4440</v>
      </c>
      <c r="AE104" s="308">
        <v>4440</v>
      </c>
      <c r="AF104" s="308">
        <v>4440</v>
      </c>
      <c r="AG104" s="308">
        <v>4440</v>
      </c>
      <c r="AH104" s="308">
        <v>4440</v>
      </c>
      <c r="AI104" s="308">
        <v>4440</v>
      </c>
      <c r="AJ104" s="308">
        <v>4440</v>
      </c>
      <c r="AK104" s="308">
        <v>4928.4000000000005</v>
      </c>
      <c r="AL104" s="308">
        <v>4928.4000000000005</v>
      </c>
      <c r="AM104" s="308">
        <v>4928.4000000000005</v>
      </c>
      <c r="AN104" s="308">
        <v>4928.4000000000005</v>
      </c>
      <c r="AO104" s="308">
        <v>4928.4000000000005</v>
      </c>
      <c r="AP104" s="308">
        <v>4928.4000000000005</v>
      </c>
      <c r="AQ104" s="308">
        <v>4928.4000000000005</v>
      </c>
      <c r="AR104" s="308">
        <v>4928.4000000000005</v>
      </c>
      <c r="AS104" s="308">
        <v>4928.4000000000005</v>
      </c>
      <c r="AT104" s="308">
        <v>4928.4000000000005</v>
      </c>
      <c r="AU104" s="308">
        <v>4928.4000000000005</v>
      </c>
      <c r="AV104" s="308">
        <v>4928.4000000000005</v>
      </c>
      <c r="AW104" s="308">
        <v>5470.5240000000013</v>
      </c>
      <c r="AX104" s="308">
        <v>5470.5240000000013</v>
      </c>
      <c r="AY104" s="308">
        <v>5470.5240000000013</v>
      </c>
    </row>
    <row r="105" spans="3:51">
      <c r="C105" s="287">
        <v>355813</v>
      </c>
      <c r="D105" t="s">
        <v>344</v>
      </c>
      <c r="E105" t="s">
        <v>345</v>
      </c>
      <c r="F105">
        <v>319</v>
      </c>
      <c r="G105" t="s">
        <v>531</v>
      </c>
      <c r="H105" s="288">
        <v>6101337000171</v>
      </c>
      <c r="I105" t="s">
        <v>536</v>
      </c>
      <c r="J105" t="s">
        <v>537</v>
      </c>
      <c r="K105" s="289">
        <v>1320000</v>
      </c>
      <c r="L105" s="290">
        <v>44470</v>
      </c>
      <c r="M105" s="290">
        <v>45200</v>
      </c>
      <c r="N105">
        <v>730</v>
      </c>
      <c r="O105" s="291" t="s">
        <v>334</v>
      </c>
      <c r="P105" t="s">
        <v>349</v>
      </c>
      <c r="Q105" s="292">
        <v>181224.07</v>
      </c>
      <c r="R105" s="292">
        <v>186396.39</v>
      </c>
      <c r="S105" s="292">
        <v>55000</v>
      </c>
      <c r="T105" s="292">
        <v>55000</v>
      </c>
      <c r="U105" s="292">
        <v>55000</v>
      </c>
      <c r="V105" s="292">
        <v>55000</v>
      </c>
      <c r="W105" s="292">
        <v>55000</v>
      </c>
      <c r="X105" s="292">
        <v>55000</v>
      </c>
      <c r="Y105" s="292">
        <v>55000</v>
      </c>
      <c r="Z105" s="292">
        <v>61050.000000000007</v>
      </c>
      <c r="AA105" s="292">
        <v>61050.000000000007</v>
      </c>
      <c r="AB105" s="292">
        <v>61050.000000000007</v>
      </c>
      <c r="AC105" s="292">
        <v>61050.000000000007</v>
      </c>
      <c r="AD105" s="292">
        <v>61050.000000000007</v>
      </c>
      <c r="AE105" s="292">
        <v>61050.000000000007</v>
      </c>
      <c r="AF105" s="292">
        <v>61050.000000000007</v>
      </c>
      <c r="AG105" s="292">
        <v>61050.000000000007</v>
      </c>
      <c r="AH105" s="292">
        <v>61050.000000000007</v>
      </c>
      <c r="AI105" s="292">
        <v>61050.000000000007</v>
      </c>
      <c r="AJ105" s="292">
        <v>61050.000000000007</v>
      </c>
      <c r="AK105" s="292">
        <v>61050.000000000007</v>
      </c>
      <c r="AL105" s="308">
        <v>67765.500000000015</v>
      </c>
      <c r="AM105" s="308">
        <v>67765.500000000015</v>
      </c>
      <c r="AN105" s="308">
        <v>67765.500000000015</v>
      </c>
      <c r="AO105" s="308">
        <v>67765.500000000015</v>
      </c>
      <c r="AP105" s="308">
        <v>67765.500000000015</v>
      </c>
      <c r="AQ105" s="308">
        <v>67765.500000000015</v>
      </c>
      <c r="AR105" s="308">
        <v>67765.500000000015</v>
      </c>
      <c r="AS105" s="308">
        <v>67765.500000000015</v>
      </c>
      <c r="AT105" s="308">
        <v>67765.500000000015</v>
      </c>
      <c r="AU105" s="308">
        <v>67765.500000000015</v>
      </c>
      <c r="AV105" s="308">
        <v>67765.500000000015</v>
      </c>
      <c r="AW105" s="308">
        <v>67765.500000000015</v>
      </c>
      <c r="AX105" s="308">
        <v>75219.705000000016</v>
      </c>
      <c r="AY105" s="308">
        <v>75219.705000000016</v>
      </c>
    </row>
    <row r="106" spans="3:51">
      <c r="C106" s="287">
        <v>354173</v>
      </c>
      <c r="D106" t="s">
        <v>344</v>
      </c>
      <c r="E106" t="s">
        <v>353</v>
      </c>
      <c r="F106">
        <v>319</v>
      </c>
      <c r="G106" t="s">
        <v>531</v>
      </c>
      <c r="H106" s="288">
        <v>79112488000107</v>
      </c>
      <c r="I106" t="s">
        <v>538</v>
      </c>
      <c r="J106" t="s">
        <v>539</v>
      </c>
      <c r="K106" s="289">
        <v>344598.15</v>
      </c>
      <c r="L106" s="290">
        <v>44470</v>
      </c>
      <c r="M106" s="290">
        <v>44834</v>
      </c>
      <c r="N106">
        <v>364</v>
      </c>
      <c r="O106" s="291" t="s">
        <v>334</v>
      </c>
      <c r="P106" t="s">
        <v>349</v>
      </c>
      <c r="Q106" s="292">
        <v>81000</v>
      </c>
      <c r="R106" s="292">
        <v>54000</v>
      </c>
      <c r="S106" s="292">
        <v>27000</v>
      </c>
      <c r="T106" s="292">
        <v>27000</v>
      </c>
      <c r="U106" s="292">
        <v>27000</v>
      </c>
      <c r="V106" s="292">
        <v>27000</v>
      </c>
      <c r="W106" s="292">
        <v>27000</v>
      </c>
      <c r="X106" s="292">
        <v>27000</v>
      </c>
      <c r="Y106" s="308">
        <v>29970.000000000004</v>
      </c>
      <c r="Z106" s="308">
        <v>29970.000000000004</v>
      </c>
      <c r="AA106" s="308">
        <v>29970.000000000004</v>
      </c>
      <c r="AB106" s="308">
        <v>29970.000000000004</v>
      </c>
      <c r="AC106" s="308">
        <v>29970.000000000004</v>
      </c>
      <c r="AD106" s="308">
        <v>29970.000000000004</v>
      </c>
      <c r="AE106" s="308">
        <v>29970.000000000004</v>
      </c>
      <c r="AF106" s="308">
        <v>29970.000000000004</v>
      </c>
      <c r="AG106" s="308">
        <v>29970.000000000004</v>
      </c>
      <c r="AH106" s="308">
        <v>29970.000000000004</v>
      </c>
      <c r="AI106" s="308">
        <v>29970.000000000004</v>
      </c>
      <c r="AJ106" s="308">
        <v>29970.000000000004</v>
      </c>
      <c r="AK106" s="308">
        <v>33266.700000000004</v>
      </c>
      <c r="AL106" s="308">
        <v>33266.700000000004</v>
      </c>
      <c r="AM106" s="308">
        <v>33266.700000000004</v>
      </c>
      <c r="AN106" s="308">
        <v>33266.700000000004</v>
      </c>
      <c r="AO106" s="308">
        <v>33266.700000000004</v>
      </c>
      <c r="AP106" s="308">
        <v>33266.700000000004</v>
      </c>
      <c r="AQ106" s="308">
        <v>33266.700000000004</v>
      </c>
      <c r="AR106" s="308">
        <v>33266.700000000004</v>
      </c>
      <c r="AS106" s="308">
        <v>33266.700000000004</v>
      </c>
      <c r="AT106" s="308">
        <v>33266.700000000004</v>
      </c>
      <c r="AU106" s="308">
        <v>33266.700000000004</v>
      </c>
      <c r="AV106" s="308">
        <v>33266.700000000004</v>
      </c>
      <c r="AW106" s="308">
        <v>36926.037000000011</v>
      </c>
      <c r="AX106" s="308">
        <v>36926.037000000011</v>
      </c>
      <c r="AY106" s="308">
        <v>36926.037000000011</v>
      </c>
    </row>
    <row r="107" spans="3:51">
      <c r="C107" s="287">
        <v>337278</v>
      </c>
      <c r="D107" t="s">
        <v>344</v>
      </c>
      <c r="E107" t="s">
        <v>345</v>
      </c>
      <c r="F107">
        <v>319</v>
      </c>
      <c r="G107" t="s">
        <v>540</v>
      </c>
      <c r="H107" s="288">
        <v>2296436986</v>
      </c>
      <c r="I107" t="s">
        <v>541</v>
      </c>
      <c r="J107" t="s">
        <v>542</v>
      </c>
      <c r="K107" s="289">
        <v>19992</v>
      </c>
      <c r="L107" s="290">
        <v>44075</v>
      </c>
      <c r="M107" s="290">
        <v>44804</v>
      </c>
      <c r="N107">
        <v>729</v>
      </c>
      <c r="O107" s="291" t="s">
        <v>334</v>
      </c>
      <c r="P107" t="s">
        <v>349</v>
      </c>
      <c r="Q107" s="292">
        <v>9696</v>
      </c>
      <c r="R107" s="292">
        <v>3232</v>
      </c>
      <c r="S107" s="292">
        <v>808</v>
      </c>
      <c r="T107" s="292">
        <v>808</v>
      </c>
      <c r="U107" s="292">
        <v>808</v>
      </c>
      <c r="V107" s="292">
        <v>808</v>
      </c>
      <c r="W107" s="292">
        <v>808</v>
      </c>
      <c r="X107" s="308">
        <v>896.88000000000011</v>
      </c>
      <c r="Y107" s="308">
        <v>896.88000000000011</v>
      </c>
      <c r="Z107" s="308">
        <v>896.88000000000011</v>
      </c>
      <c r="AA107" s="308">
        <v>896.88000000000011</v>
      </c>
      <c r="AB107" s="308">
        <v>896.88000000000011</v>
      </c>
      <c r="AC107" s="308">
        <v>896.88000000000011</v>
      </c>
      <c r="AD107" s="308">
        <v>896.88000000000011</v>
      </c>
      <c r="AE107" s="308">
        <v>896.88000000000011</v>
      </c>
      <c r="AF107" s="308">
        <v>896.88000000000011</v>
      </c>
      <c r="AG107" s="308">
        <v>896.88000000000011</v>
      </c>
      <c r="AH107" s="308">
        <v>896.88000000000011</v>
      </c>
      <c r="AI107" s="308">
        <v>896.88000000000011</v>
      </c>
      <c r="AJ107" s="308">
        <v>995.5368000000002</v>
      </c>
      <c r="AK107" s="308">
        <v>995.5368000000002</v>
      </c>
      <c r="AL107" s="308">
        <v>995.5368000000002</v>
      </c>
      <c r="AM107" s="308">
        <v>995.5368000000002</v>
      </c>
      <c r="AN107" s="308">
        <v>995.5368000000002</v>
      </c>
      <c r="AO107" s="308">
        <v>995.5368000000002</v>
      </c>
      <c r="AP107" s="308">
        <v>995.5368000000002</v>
      </c>
      <c r="AQ107" s="308">
        <v>995.5368000000002</v>
      </c>
      <c r="AR107" s="308">
        <v>995.5368000000002</v>
      </c>
      <c r="AS107" s="308">
        <v>995.5368000000002</v>
      </c>
      <c r="AT107" s="308">
        <v>995.5368000000002</v>
      </c>
      <c r="AU107" s="308">
        <v>995.5368000000002</v>
      </c>
      <c r="AV107" s="308">
        <v>1105.0458480000002</v>
      </c>
      <c r="AW107" s="308">
        <v>1105.0458480000002</v>
      </c>
      <c r="AX107" s="308">
        <v>1105.0458480000002</v>
      </c>
      <c r="AY107" s="308">
        <v>1105.0458480000002</v>
      </c>
    </row>
    <row r="108" spans="3:51">
      <c r="C108" s="287">
        <v>349893</v>
      </c>
      <c r="D108" t="s">
        <v>344</v>
      </c>
      <c r="E108" t="s">
        <v>359</v>
      </c>
      <c r="F108">
        <v>319</v>
      </c>
      <c r="G108" t="s">
        <v>543</v>
      </c>
      <c r="H108" s="288">
        <v>33927814000125</v>
      </c>
      <c r="I108" t="s">
        <v>544</v>
      </c>
      <c r="J108" t="s">
        <v>545</v>
      </c>
      <c r="K108" s="289">
        <v>305652.86</v>
      </c>
      <c r="L108" s="290">
        <v>44348</v>
      </c>
      <c r="M108" s="290">
        <v>44804</v>
      </c>
      <c r="N108">
        <v>456</v>
      </c>
      <c r="O108" s="291" t="s">
        <v>334</v>
      </c>
      <c r="P108" t="s">
        <v>349</v>
      </c>
      <c r="Q108" s="292">
        <v>161816.22000000003</v>
      </c>
      <c r="R108" s="292">
        <v>35959.160000000003</v>
      </c>
      <c r="S108" s="292">
        <v>20676.509999999998</v>
      </c>
      <c r="T108" s="292">
        <v>20676.509999999998</v>
      </c>
      <c r="U108" s="292">
        <v>20676.509999999998</v>
      </c>
      <c r="V108" s="292">
        <v>20676.509999999998</v>
      </c>
      <c r="W108" s="292">
        <v>20676.509999999998</v>
      </c>
      <c r="X108" s="308">
        <v>22950.926100000001</v>
      </c>
      <c r="Y108" s="308">
        <v>22950.926100000001</v>
      </c>
      <c r="Z108" s="308">
        <v>22950.926100000001</v>
      </c>
      <c r="AA108" s="308">
        <v>22950.926100000001</v>
      </c>
      <c r="AB108" s="308">
        <v>22950.926100000001</v>
      </c>
      <c r="AC108" s="308">
        <v>22950.926100000001</v>
      </c>
      <c r="AD108" s="308">
        <v>22950.926100000001</v>
      </c>
      <c r="AE108" s="308">
        <v>22950.926100000001</v>
      </c>
      <c r="AF108" s="308">
        <v>22950.926100000001</v>
      </c>
      <c r="AG108" s="308">
        <v>22950.926100000001</v>
      </c>
      <c r="AH108" s="308">
        <v>22950.926100000001</v>
      </c>
      <c r="AI108" s="308">
        <v>22950.926100000001</v>
      </c>
      <c r="AJ108" s="308">
        <v>25475.527971000003</v>
      </c>
      <c r="AK108" s="308">
        <v>25475.527971000003</v>
      </c>
      <c r="AL108" s="308">
        <v>25475.527971000003</v>
      </c>
      <c r="AM108" s="308">
        <v>25475.527971000003</v>
      </c>
      <c r="AN108" s="308">
        <v>25475.527971000003</v>
      </c>
      <c r="AO108" s="308">
        <v>25475.527971000003</v>
      </c>
      <c r="AP108" s="308">
        <v>25475.527971000003</v>
      </c>
      <c r="AQ108" s="308">
        <v>25475.527971000003</v>
      </c>
      <c r="AR108" s="308">
        <v>25475.527971000003</v>
      </c>
      <c r="AS108" s="308">
        <v>25475.527971000003</v>
      </c>
      <c r="AT108" s="308">
        <v>25475.527971000003</v>
      </c>
      <c r="AU108" s="308">
        <v>25475.527971000003</v>
      </c>
      <c r="AV108" s="308">
        <v>28277.836047810008</v>
      </c>
      <c r="AW108" s="308">
        <v>28277.836047810008</v>
      </c>
      <c r="AX108" s="308">
        <v>28277.836047810008</v>
      </c>
      <c r="AY108" s="308">
        <v>28277.836047810008</v>
      </c>
    </row>
    <row r="109" spans="3:51">
      <c r="C109" s="287">
        <v>355029</v>
      </c>
      <c r="D109" t="s">
        <v>344</v>
      </c>
      <c r="E109" t="s">
        <v>345</v>
      </c>
      <c r="F109">
        <v>319</v>
      </c>
      <c r="G109" t="s">
        <v>546</v>
      </c>
      <c r="H109" s="288">
        <v>20846479915</v>
      </c>
      <c r="I109" t="s">
        <v>547</v>
      </c>
      <c r="J109" t="s">
        <v>548</v>
      </c>
      <c r="K109" s="289">
        <v>5040</v>
      </c>
      <c r="L109" s="290">
        <v>44480</v>
      </c>
      <c r="M109" s="290">
        <v>44844</v>
      </c>
      <c r="N109">
        <v>364</v>
      </c>
      <c r="O109" s="291" t="s">
        <v>334</v>
      </c>
      <c r="P109" t="s">
        <v>349</v>
      </c>
      <c r="Q109" s="292">
        <v>703.51</v>
      </c>
      <c r="R109" s="292">
        <v>1260</v>
      </c>
      <c r="S109" s="292">
        <v>420</v>
      </c>
      <c r="T109" s="292">
        <v>420</v>
      </c>
      <c r="U109" s="292">
        <v>420</v>
      </c>
      <c r="V109" s="292">
        <v>420</v>
      </c>
      <c r="W109" s="292">
        <v>420</v>
      </c>
      <c r="X109" s="292">
        <v>420</v>
      </c>
      <c r="Y109" s="292">
        <v>420</v>
      </c>
      <c r="Z109" s="308">
        <v>466.20000000000005</v>
      </c>
      <c r="AA109" s="308">
        <v>466.20000000000005</v>
      </c>
      <c r="AB109" s="308">
        <v>466.20000000000005</v>
      </c>
      <c r="AC109" s="308">
        <v>466.20000000000005</v>
      </c>
      <c r="AD109" s="308">
        <v>466.20000000000005</v>
      </c>
      <c r="AE109" s="308">
        <v>466.20000000000005</v>
      </c>
      <c r="AF109" s="308">
        <v>466.20000000000005</v>
      </c>
      <c r="AG109" s="308">
        <v>466.20000000000005</v>
      </c>
      <c r="AH109" s="308">
        <v>466.20000000000005</v>
      </c>
      <c r="AI109" s="308">
        <v>466.20000000000005</v>
      </c>
      <c r="AJ109" s="308">
        <v>466.20000000000005</v>
      </c>
      <c r="AK109" s="308">
        <v>466.20000000000005</v>
      </c>
      <c r="AL109" s="308">
        <v>517.48200000000008</v>
      </c>
      <c r="AM109" s="308">
        <v>517.48200000000008</v>
      </c>
      <c r="AN109" s="308">
        <v>517.48200000000008</v>
      </c>
      <c r="AO109" s="308">
        <v>517.48200000000008</v>
      </c>
      <c r="AP109" s="308">
        <v>517.48200000000008</v>
      </c>
      <c r="AQ109" s="308">
        <v>517.48200000000008</v>
      </c>
      <c r="AR109" s="308">
        <v>517.48200000000008</v>
      </c>
      <c r="AS109" s="308">
        <v>517.48200000000008</v>
      </c>
      <c r="AT109" s="308">
        <v>517.48200000000008</v>
      </c>
      <c r="AU109" s="308">
        <v>517.48200000000008</v>
      </c>
      <c r="AV109" s="308">
        <v>517.48200000000008</v>
      </c>
      <c r="AW109" s="308">
        <v>517.48200000000008</v>
      </c>
      <c r="AX109" s="308">
        <v>574.40502000000015</v>
      </c>
      <c r="AY109" s="308">
        <v>574.40502000000015</v>
      </c>
    </row>
    <row r="110" spans="3:51">
      <c r="C110" s="287">
        <v>334822</v>
      </c>
      <c r="D110" t="s">
        <v>344</v>
      </c>
      <c r="E110" t="s">
        <v>359</v>
      </c>
      <c r="F110">
        <v>319</v>
      </c>
      <c r="G110" t="s">
        <v>549</v>
      </c>
      <c r="H110" s="288">
        <v>2821960999</v>
      </c>
      <c r="I110" t="s">
        <v>550</v>
      </c>
      <c r="J110" t="s">
        <v>551</v>
      </c>
      <c r="K110" s="289">
        <v>28800</v>
      </c>
      <c r="L110" s="290">
        <v>43997</v>
      </c>
      <c r="M110" s="290">
        <v>45092</v>
      </c>
      <c r="N110">
        <v>1095</v>
      </c>
      <c r="O110" s="291" t="s">
        <v>334</v>
      </c>
      <c r="P110" t="s">
        <v>349</v>
      </c>
      <c r="Q110" s="292">
        <v>9875</v>
      </c>
      <c r="R110" s="292">
        <v>2550</v>
      </c>
      <c r="S110" s="292">
        <v>850</v>
      </c>
      <c r="T110" s="292">
        <v>850</v>
      </c>
      <c r="U110" s="292">
        <v>850</v>
      </c>
      <c r="V110" s="292">
        <v>943.50000000000011</v>
      </c>
      <c r="W110" s="292">
        <v>943.50000000000011</v>
      </c>
      <c r="X110" s="292">
        <v>943.50000000000011</v>
      </c>
      <c r="Y110" s="292">
        <v>943.50000000000011</v>
      </c>
      <c r="Z110" s="292">
        <v>943.50000000000011</v>
      </c>
      <c r="AA110" s="292">
        <v>943.50000000000011</v>
      </c>
      <c r="AB110" s="292">
        <v>943.50000000000011</v>
      </c>
      <c r="AC110" s="292">
        <v>943.50000000000011</v>
      </c>
      <c r="AD110" s="292">
        <v>943.50000000000011</v>
      </c>
      <c r="AE110" s="292">
        <v>943.50000000000011</v>
      </c>
      <c r="AF110" s="292">
        <v>943.50000000000011</v>
      </c>
      <c r="AG110" s="292">
        <v>943.50000000000011</v>
      </c>
      <c r="AH110" s="308">
        <v>1047.2850000000003</v>
      </c>
      <c r="AI110" s="308">
        <v>1047.2850000000003</v>
      </c>
      <c r="AJ110" s="308">
        <v>1047.2850000000003</v>
      </c>
      <c r="AK110" s="308">
        <v>1047.2850000000003</v>
      </c>
      <c r="AL110" s="308">
        <v>1047.2850000000003</v>
      </c>
      <c r="AM110" s="308">
        <v>1047.2850000000003</v>
      </c>
      <c r="AN110" s="308">
        <v>1047.2850000000003</v>
      </c>
      <c r="AO110" s="308">
        <v>1047.2850000000003</v>
      </c>
      <c r="AP110" s="308">
        <v>1047.2850000000003</v>
      </c>
      <c r="AQ110" s="308">
        <v>1047.2850000000003</v>
      </c>
      <c r="AR110" s="308">
        <v>1047.2850000000003</v>
      </c>
      <c r="AS110" s="308">
        <v>1047.2850000000003</v>
      </c>
      <c r="AT110" s="308">
        <v>1162.4863500000004</v>
      </c>
      <c r="AU110" s="308">
        <v>1162.4863500000004</v>
      </c>
      <c r="AV110" s="308">
        <v>1162.4863500000004</v>
      </c>
      <c r="AW110" s="308">
        <v>1162.4863500000004</v>
      </c>
      <c r="AX110" s="308">
        <v>1162.4863500000004</v>
      </c>
      <c r="AY110" s="308">
        <v>1162.4863500000004</v>
      </c>
    </row>
    <row r="111" spans="3:51">
      <c r="C111" s="287">
        <v>330785</v>
      </c>
      <c r="D111" t="s">
        <v>344</v>
      </c>
      <c r="E111" t="s">
        <v>345</v>
      </c>
      <c r="F111">
        <v>319</v>
      </c>
      <c r="G111" t="s">
        <v>552</v>
      </c>
      <c r="H111" s="288">
        <v>1534130934</v>
      </c>
      <c r="I111" t="s">
        <v>553</v>
      </c>
      <c r="J111" t="s">
        <v>554</v>
      </c>
      <c r="K111" s="289">
        <v>12978.24</v>
      </c>
      <c r="L111" s="290">
        <v>43952</v>
      </c>
      <c r="M111" s="290">
        <v>44682</v>
      </c>
      <c r="N111">
        <v>730</v>
      </c>
      <c r="O111" s="291" t="s">
        <v>334</v>
      </c>
      <c r="P111" t="s">
        <v>349</v>
      </c>
      <c r="Q111" s="292">
        <v>6489.1200000000017</v>
      </c>
      <c r="R111" s="292">
        <v>1622.2800000000002</v>
      </c>
      <c r="S111" s="292">
        <v>540.76</v>
      </c>
      <c r="T111" s="292">
        <v>0</v>
      </c>
      <c r="U111" s="308">
        <v>0</v>
      </c>
      <c r="V111" s="308">
        <v>0</v>
      </c>
      <c r="W111" s="308">
        <v>0</v>
      </c>
      <c r="X111" s="308">
        <v>0</v>
      </c>
      <c r="Y111" s="308">
        <v>0</v>
      </c>
      <c r="Z111" s="308">
        <v>0</v>
      </c>
      <c r="AA111" s="308">
        <v>0</v>
      </c>
      <c r="AB111" s="308">
        <v>0</v>
      </c>
      <c r="AC111" s="308">
        <v>0</v>
      </c>
      <c r="AD111" s="308">
        <v>0</v>
      </c>
      <c r="AE111" s="308">
        <v>0</v>
      </c>
      <c r="AF111" s="308">
        <v>0</v>
      </c>
      <c r="AG111" s="308">
        <v>0</v>
      </c>
      <c r="AH111" s="308">
        <v>0</v>
      </c>
      <c r="AI111" s="308">
        <v>0</v>
      </c>
      <c r="AJ111" s="308">
        <v>0</v>
      </c>
      <c r="AK111" s="308">
        <v>0</v>
      </c>
      <c r="AL111" s="308">
        <v>0</v>
      </c>
      <c r="AM111" s="308">
        <v>0</v>
      </c>
      <c r="AN111" s="308">
        <v>0</v>
      </c>
      <c r="AO111" s="308">
        <v>0</v>
      </c>
      <c r="AP111" s="308">
        <v>0</v>
      </c>
      <c r="AQ111" s="308">
        <v>0</v>
      </c>
      <c r="AR111" s="308">
        <v>0</v>
      </c>
      <c r="AS111" s="308">
        <v>0</v>
      </c>
      <c r="AT111" s="308">
        <v>0</v>
      </c>
      <c r="AU111" s="308">
        <v>0</v>
      </c>
      <c r="AV111" s="308">
        <v>0</v>
      </c>
      <c r="AW111" s="308">
        <v>0</v>
      </c>
      <c r="AX111" s="308">
        <v>0</v>
      </c>
      <c r="AY111" s="308">
        <v>0</v>
      </c>
    </row>
    <row r="112" spans="3:51">
      <c r="C112" s="287" t="s">
        <v>555</v>
      </c>
      <c r="D112" t="s">
        <v>406</v>
      </c>
      <c r="E112" t="s">
        <v>359</v>
      </c>
      <c r="F112">
        <v>319</v>
      </c>
      <c r="G112" t="s">
        <v>556</v>
      </c>
      <c r="H112" s="288">
        <v>15869873991</v>
      </c>
      <c r="I112" t="s">
        <v>557</v>
      </c>
      <c r="J112" t="s">
        <v>558</v>
      </c>
      <c r="K112" s="289">
        <v>92613.35</v>
      </c>
      <c r="L112" s="290">
        <v>43647</v>
      </c>
      <c r="M112" s="290">
        <v>45472</v>
      </c>
      <c r="N112">
        <v>1825</v>
      </c>
      <c r="O112" s="291" t="s">
        <v>334</v>
      </c>
      <c r="P112" t="s">
        <v>349</v>
      </c>
      <c r="Q112" s="292">
        <v>18000</v>
      </c>
      <c r="R112" s="292">
        <v>4500</v>
      </c>
      <c r="S112" s="292">
        <v>1950</v>
      </c>
      <c r="T112" s="292">
        <v>1950</v>
      </c>
      <c r="U112" s="292">
        <v>1950</v>
      </c>
      <c r="V112" s="292">
        <v>2164.5</v>
      </c>
      <c r="W112" s="292">
        <v>2164.5</v>
      </c>
      <c r="X112" s="292">
        <v>2164.5</v>
      </c>
      <c r="Y112" s="292">
        <v>2164.5</v>
      </c>
      <c r="Z112" s="292">
        <v>2164.5</v>
      </c>
      <c r="AA112" s="292">
        <v>2164.5</v>
      </c>
      <c r="AB112" s="292">
        <v>2164.5</v>
      </c>
      <c r="AC112" s="292">
        <v>2164.5</v>
      </c>
      <c r="AD112" s="292">
        <v>2164.5</v>
      </c>
      <c r="AE112" s="292">
        <v>2164.5</v>
      </c>
      <c r="AF112" s="292">
        <v>2164.5</v>
      </c>
      <c r="AG112" s="292">
        <v>2164.5</v>
      </c>
      <c r="AH112" s="292">
        <v>2402.5950000000003</v>
      </c>
      <c r="AI112" s="292">
        <v>2402.5950000000003</v>
      </c>
      <c r="AJ112" s="292">
        <v>2402.5950000000003</v>
      </c>
      <c r="AK112" s="292">
        <v>2402.5950000000003</v>
      </c>
      <c r="AL112" s="292">
        <v>2402.5950000000003</v>
      </c>
      <c r="AM112" s="292">
        <v>2402.5950000000003</v>
      </c>
      <c r="AN112" s="292">
        <v>2402.5950000000003</v>
      </c>
      <c r="AO112" s="292">
        <v>2402.5950000000003</v>
      </c>
      <c r="AP112" s="292">
        <v>2402.5950000000003</v>
      </c>
      <c r="AQ112" s="292">
        <v>2402.5950000000003</v>
      </c>
      <c r="AR112" s="292">
        <v>2402.5950000000003</v>
      </c>
      <c r="AS112" s="292">
        <v>2402.5950000000003</v>
      </c>
      <c r="AT112" s="308">
        <v>2666.8804500000006</v>
      </c>
      <c r="AU112" s="308">
        <v>2666.8804500000006</v>
      </c>
      <c r="AV112" s="308">
        <v>2666.8804500000006</v>
      </c>
      <c r="AW112" s="308">
        <v>2666.8804500000006</v>
      </c>
      <c r="AX112" s="308">
        <v>2666.8804500000006</v>
      </c>
      <c r="AY112" s="308">
        <v>2666.8804500000006</v>
      </c>
    </row>
    <row r="113" spans="3:51">
      <c r="C113" s="287" t="s">
        <v>559</v>
      </c>
      <c r="D113" t="s">
        <v>440</v>
      </c>
      <c r="E113" t="s">
        <v>359</v>
      </c>
      <c r="F113">
        <v>319</v>
      </c>
      <c r="G113" t="s">
        <v>560</v>
      </c>
      <c r="H113" s="288">
        <v>82326356000184</v>
      </c>
      <c r="I113" t="s">
        <v>561</v>
      </c>
      <c r="J113" t="s">
        <v>562</v>
      </c>
      <c r="K113" s="289">
        <v>1260000</v>
      </c>
      <c r="L113" s="290">
        <v>42870</v>
      </c>
      <c r="M113" s="290">
        <v>44695</v>
      </c>
      <c r="N113">
        <v>1825</v>
      </c>
      <c r="O113" s="291" t="s">
        <v>334</v>
      </c>
      <c r="P113" t="s">
        <v>349</v>
      </c>
      <c r="Q113" s="292">
        <v>266689.32</v>
      </c>
      <c r="R113" s="292">
        <v>69357.66</v>
      </c>
      <c r="S113" s="292">
        <v>23119.22</v>
      </c>
      <c r="T113" s="292">
        <v>23119.22</v>
      </c>
      <c r="U113" s="308">
        <v>25662.334200000005</v>
      </c>
      <c r="V113" s="308">
        <v>25662.334200000005</v>
      </c>
      <c r="W113" s="308">
        <v>25662.334200000005</v>
      </c>
      <c r="X113" s="308">
        <v>25662.334200000005</v>
      </c>
      <c r="Y113" s="308">
        <v>25662.334200000005</v>
      </c>
      <c r="Z113" s="308">
        <v>25662.334200000005</v>
      </c>
      <c r="AA113" s="308">
        <v>25662.334200000005</v>
      </c>
      <c r="AB113" s="308">
        <v>25662.334200000005</v>
      </c>
      <c r="AC113" s="308">
        <v>25662.334200000005</v>
      </c>
      <c r="AD113" s="308">
        <v>25662.334200000005</v>
      </c>
      <c r="AE113" s="308">
        <v>25662.334200000005</v>
      </c>
      <c r="AF113" s="308">
        <v>28485.190962000008</v>
      </c>
      <c r="AG113" s="308">
        <v>28485.190962000008</v>
      </c>
      <c r="AH113" s="308">
        <v>28485.190962000008</v>
      </c>
      <c r="AI113" s="308">
        <v>28485.190962000008</v>
      </c>
      <c r="AJ113" s="308">
        <v>28485.190962000008</v>
      </c>
      <c r="AK113" s="308">
        <v>28485.190962000008</v>
      </c>
      <c r="AL113" s="308">
        <v>28485.190962000008</v>
      </c>
      <c r="AM113" s="308">
        <v>28485.190962000008</v>
      </c>
      <c r="AN113" s="308">
        <v>28485.190962000008</v>
      </c>
      <c r="AO113" s="308">
        <v>28485.190962000008</v>
      </c>
      <c r="AP113" s="308">
        <v>28485.190962000008</v>
      </c>
      <c r="AQ113" s="308">
        <v>28485.190962000008</v>
      </c>
      <c r="AR113" s="308">
        <v>31618.561967820013</v>
      </c>
      <c r="AS113" s="308">
        <v>31618.561967820013</v>
      </c>
      <c r="AT113" s="308">
        <v>31618.561967820013</v>
      </c>
      <c r="AU113" s="308">
        <v>31618.561967820013</v>
      </c>
      <c r="AV113" s="308">
        <v>31618.561967820013</v>
      </c>
      <c r="AW113" s="308">
        <v>31618.561967820013</v>
      </c>
      <c r="AX113" s="308">
        <v>31618.561967820013</v>
      </c>
      <c r="AY113" s="308">
        <v>31618.561967820013</v>
      </c>
    </row>
    <row r="114" spans="3:51">
      <c r="C114" s="287" t="s">
        <v>563</v>
      </c>
      <c r="D114" t="s">
        <v>406</v>
      </c>
      <c r="E114" t="s">
        <v>359</v>
      </c>
      <c r="F114">
        <v>319</v>
      </c>
      <c r="G114" t="s">
        <v>564</v>
      </c>
      <c r="H114" s="288">
        <v>29570123915</v>
      </c>
      <c r="I114" t="s">
        <v>565</v>
      </c>
      <c r="J114" t="s">
        <v>566</v>
      </c>
      <c r="K114" s="289">
        <v>354502.31</v>
      </c>
      <c r="L114" s="290">
        <v>43451</v>
      </c>
      <c r="M114" s="290">
        <v>45276</v>
      </c>
      <c r="N114">
        <v>1825</v>
      </c>
      <c r="O114" s="291" t="s">
        <v>334</v>
      </c>
      <c r="P114" t="s">
        <v>349</v>
      </c>
      <c r="Q114" s="292">
        <v>65684.47</v>
      </c>
      <c r="R114" s="292">
        <v>18207.900000000001</v>
      </c>
      <c r="S114" s="292">
        <v>7109.07</v>
      </c>
      <c r="T114" s="292">
        <v>7109.07</v>
      </c>
      <c r="U114" s="292">
        <v>7109.07</v>
      </c>
      <c r="V114" s="292">
        <v>7109.07</v>
      </c>
      <c r="W114" s="292">
        <v>7109.07</v>
      </c>
      <c r="X114" s="292">
        <v>7109.07</v>
      </c>
      <c r="Y114" s="292">
        <v>7109.07</v>
      </c>
      <c r="Z114" s="292">
        <v>7109.07</v>
      </c>
      <c r="AA114" s="292">
        <v>7109.07</v>
      </c>
      <c r="AB114" s="292">
        <v>7891.0677000000005</v>
      </c>
      <c r="AC114" s="292">
        <v>7891.0677000000005</v>
      </c>
      <c r="AD114" s="292">
        <v>7891.0677000000005</v>
      </c>
      <c r="AE114" s="292">
        <v>7891.0677000000005</v>
      </c>
      <c r="AF114" s="292">
        <v>7891.0677000000005</v>
      </c>
      <c r="AG114" s="292">
        <v>7891.0677000000005</v>
      </c>
      <c r="AH114" s="292">
        <v>7891.0677000000005</v>
      </c>
      <c r="AI114" s="292">
        <v>7891.0677000000005</v>
      </c>
      <c r="AJ114" s="292">
        <v>7891.0677000000005</v>
      </c>
      <c r="AK114" s="292">
        <v>7891.0677000000005</v>
      </c>
      <c r="AL114" s="292">
        <v>7891.0677000000005</v>
      </c>
      <c r="AM114" s="292">
        <v>7891.0677000000005</v>
      </c>
      <c r="AN114" s="308">
        <v>8759.0851470000016</v>
      </c>
      <c r="AO114" s="308">
        <v>8759.0851470000016</v>
      </c>
      <c r="AP114" s="308">
        <v>8759.0851470000016</v>
      </c>
      <c r="AQ114" s="308">
        <v>8759.0851470000016</v>
      </c>
      <c r="AR114" s="308">
        <v>8759.0851470000016</v>
      </c>
      <c r="AS114" s="308">
        <v>8759.0851470000016</v>
      </c>
      <c r="AT114" s="308">
        <v>8759.0851470000016</v>
      </c>
      <c r="AU114" s="308">
        <v>8759.0851470000016</v>
      </c>
      <c r="AV114" s="308">
        <v>8759.0851470000016</v>
      </c>
      <c r="AW114" s="308">
        <v>8759.0851470000016</v>
      </c>
      <c r="AX114" s="308">
        <v>8759.0851470000016</v>
      </c>
      <c r="AY114" s="308">
        <v>8759.0851470000016</v>
      </c>
    </row>
    <row r="115" spans="3:51">
      <c r="C115" s="287">
        <v>342595</v>
      </c>
      <c r="D115" t="s">
        <v>344</v>
      </c>
      <c r="E115" t="s">
        <v>345</v>
      </c>
      <c r="F115">
        <v>319</v>
      </c>
      <c r="G115" t="s">
        <v>567</v>
      </c>
      <c r="H115" s="288">
        <v>98061470900</v>
      </c>
      <c r="I115" t="s">
        <v>568</v>
      </c>
      <c r="J115" t="s">
        <v>569</v>
      </c>
      <c r="K115" s="289">
        <v>16800</v>
      </c>
      <c r="L115" s="290">
        <v>44166</v>
      </c>
      <c r="M115" s="290">
        <v>44895</v>
      </c>
      <c r="N115">
        <v>729</v>
      </c>
      <c r="O115" s="291" t="s">
        <v>334</v>
      </c>
      <c r="P115" t="s">
        <v>349</v>
      </c>
      <c r="Q115" s="292">
        <v>8400</v>
      </c>
      <c r="R115" s="292">
        <v>2100</v>
      </c>
      <c r="S115" s="292">
        <v>700</v>
      </c>
      <c r="T115" s="292">
        <v>700</v>
      </c>
      <c r="U115" s="292">
        <v>700</v>
      </c>
      <c r="V115" s="292">
        <v>700</v>
      </c>
      <c r="W115" s="292">
        <v>700</v>
      </c>
      <c r="X115" s="292">
        <v>700</v>
      </c>
      <c r="Y115" s="292">
        <v>700</v>
      </c>
      <c r="Z115" s="292">
        <v>700</v>
      </c>
      <c r="AA115" s="308">
        <v>777.00000000000011</v>
      </c>
      <c r="AB115" s="308">
        <v>777.00000000000011</v>
      </c>
      <c r="AC115" s="308">
        <v>777.00000000000011</v>
      </c>
      <c r="AD115" s="308">
        <v>777.00000000000011</v>
      </c>
      <c r="AE115" s="308">
        <v>777.00000000000011</v>
      </c>
      <c r="AF115" s="308">
        <v>777.00000000000011</v>
      </c>
      <c r="AG115" s="308">
        <v>777.00000000000011</v>
      </c>
      <c r="AH115" s="308">
        <v>777.00000000000011</v>
      </c>
      <c r="AI115" s="308">
        <v>777.00000000000011</v>
      </c>
      <c r="AJ115" s="308">
        <v>777.00000000000011</v>
      </c>
      <c r="AK115" s="308">
        <v>777.00000000000011</v>
      </c>
      <c r="AL115" s="308">
        <v>777.00000000000011</v>
      </c>
      <c r="AM115" s="308">
        <v>862.47000000000025</v>
      </c>
      <c r="AN115" s="308">
        <v>862.47000000000025</v>
      </c>
      <c r="AO115" s="308">
        <v>862.47000000000025</v>
      </c>
      <c r="AP115" s="308">
        <v>862.47000000000025</v>
      </c>
      <c r="AQ115" s="308">
        <v>862.47000000000025</v>
      </c>
      <c r="AR115" s="308">
        <v>862.47000000000025</v>
      </c>
      <c r="AS115" s="308">
        <v>862.47000000000025</v>
      </c>
      <c r="AT115" s="308">
        <v>862.47000000000025</v>
      </c>
      <c r="AU115" s="308">
        <v>862.47000000000025</v>
      </c>
      <c r="AV115" s="308">
        <v>862.47000000000025</v>
      </c>
      <c r="AW115" s="308">
        <v>862.47000000000025</v>
      </c>
      <c r="AX115" s="308">
        <v>862.47000000000025</v>
      </c>
      <c r="AY115" s="308">
        <v>957.3417000000004</v>
      </c>
    </row>
    <row r="116" spans="3:51">
      <c r="C116" s="287">
        <v>361580</v>
      </c>
      <c r="D116" t="s">
        <v>344</v>
      </c>
      <c r="E116" t="s">
        <v>345</v>
      </c>
      <c r="F116">
        <v>319</v>
      </c>
      <c r="G116" t="s">
        <v>570</v>
      </c>
      <c r="H116" s="305" t="s">
        <v>571</v>
      </c>
      <c r="I116" t="s">
        <v>572</v>
      </c>
      <c r="J116" t="s">
        <v>573</v>
      </c>
      <c r="K116" s="289">
        <v>854434.3</v>
      </c>
      <c r="L116" s="290">
        <v>44612</v>
      </c>
      <c r="M116" s="290">
        <v>45432</v>
      </c>
      <c r="N116">
        <v>820</v>
      </c>
      <c r="O116" s="291" t="s">
        <v>334</v>
      </c>
      <c r="P116" t="s">
        <v>349</v>
      </c>
      <c r="Q116" s="292">
        <v>0</v>
      </c>
      <c r="R116" s="292">
        <v>8903.57</v>
      </c>
      <c r="S116" s="292">
        <v>27770</v>
      </c>
      <c r="T116" s="292">
        <v>27770</v>
      </c>
      <c r="U116" s="292">
        <v>27770</v>
      </c>
      <c r="V116" s="292">
        <v>27770</v>
      </c>
      <c r="W116" s="292">
        <v>27770</v>
      </c>
      <c r="X116" s="292">
        <v>27770</v>
      </c>
      <c r="Y116" s="292">
        <v>27770</v>
      </c>
      <c r="Z116" s="292">
        <v>27770</v>
      </c>
      <c r="AA116" s="292">
        <v>27770</v>
      </c>
      <c r="AB116" s="292">
        <v>27770</v>
      </c>
      <c r="AC116" s="292">
        <v>27770</v>
      </c>
      <c r="AD116" s="292">
        <v>30824.700000000004</v>
      </c>
      <c r="AE116" s="292">
        <v>30824.700000000004</v>
      </c>
      <c r="AF116" s="292">
        <v>30824.700000000004</v>
      </c>
      <c r="AG116" s="292">
        <v>30824.700000000004</v>
      </c>
      <c r="AH116" s="292">
        <v>30824.700000000004</v>
      </c>
      <c r="AI116" s="292">
        <v>30824.700000000004</v>
      </c>
      <c r="AJ116" s="292">
        <v>30824.700000000004</v>
      </c>
      <c r="AK116" s="292">
        <v>30824.700000000004</v>
      </c>
      <c r="AL116" s="292">
        <v>30824.700000000004</v>
      </c>
      <c r="AM116" s="292">
        <v>30824.700000000004</v>
      </c>
      <c r="AN116" s="292">
        <v>30824.7</v>
      </c>
      <c r="AO116" s="292">
        <v>30824.7</v>
      </c>
      <c r="AP116" s="292">
        <v>30825.81</v>
      </c>
      <c r="AQ116" s="292">
        <v>30825.81</v>
      </c>
      <c r="AR116" s="292">
        <v>30825.81</v>
      </c>
      <c r="AS116" s="308">
        <v>30825.81</v>
      </c>
      <c r="AT116" s="308">
        <v>30825.81</v>
      </c>
      <c r="AU116" s="308">
        <v>30825.81</v>
      </c>
      <c r="AV116" s="308">
        <v>30825.81</v>
      </c>
      <c r="AW116" s="308">
        <v>30825.81</v>
      </c>
      <c r="AX116" s="308">
        <v>30825.81</v>
      </c>
      <c r="AY116" s="308">
        <v>30825.81</v>
      </c>
    </row>
    <row r="117" spans="3:51">
      <c r="C117" s="326" t="s">
        <v>574</v>
      </c>
      <c r="D117" t="s">
        <v>406</v>
      </c>
      <c r="E117" t="s">
        <v>353</v>
      </c>
      <c r="F117">
        <v>319</v>
      </c>
      <c r="G117" t="s">
        <v>570</v>
      </c>
      <c r="H117" s="288">
        <v>434812994</v>
      </c>
      <c r="I117" t="s">
        <v>575</v>
      </c>
      <c r="J117" t="s">
        <v>576</v>
      </c>
      <c r="K117" s="289">
        <v>463332.12</v>
      </c>
      <c r="L117" s="290">
        <v>43070</v>
      </c>
      <c r="M117" s="290">
        <v>44895</v>
      </c>
      <c r="N117">
        <v>1825</v>
      </c>
      <c r="O117" s="291" t="s">
        <v>334</v>
      </c>
      <c r="P117" t="s">
        <v>349</v>
      </c>
      <c r="Q117" s="292">
        <v>89868.55</v>
      </c>
      <c r="R117" s="292">
        <v>24158.63</v>
      </c>
      <c r="S117" s="292">
        <v>9211.58</v>
      </c>
      <c r="T117" s="292">
        <v>9211.58</v>
      </c>
      <c r="U117" s="292">
        <v>9211.58</v>
      </c>
      <c r="V117" s="292">
        <v>9211.58</v>
      </c>
      <c r="W117" s="292">
        <v>9211.58</v>
      </c>
      <c r="X117" s="292">
        <v>9211.58</v>
      </c>
      <c r="Y117" s="292">
        <v>9211.58</v>
      </c>
      <c r="Z117" s="292">
        <v>9211.58</v>
      </c>
      <c r="AA117" s="308">
        <v>10224.853800000001</v>
      </c>
      <c r="AB117" s="308">
        <v>10224.853800000001</v>
      </c>
      <c r="AC117" s="308">
        <v>10224.853800000001</v>
      </c>
      <c r="AD117" s="308">
        <v>10224.853800000001</v>
      </c>
      <c r="AE117" s="308">
        <v>10224.853800000001</v>
      </c>
      <c r="AF117" s="308">
        <v>10224.853800000001</v>
      </c>
      <c r="AG117" s="308">
        <v>10224.853800000001</v>
      </c>
      <c r="AH117" s="308">
        <v>10224.853800000001</v>
      </c>
      <c r="AI117" s="308">
        <v>10224.853800000001</v>
      </c>
      <c r="AJ117" s="308">
        <v>10224.853800000001</v>
      </c>
      <c r="AK117" s="308">
        <v>10224.853800000001</v>
      </c>
      <c r="AL117" s="308">
        <v>10224.853800000001</v>
      </c>
      <c r="AM117" s="308">
        <v>11349.587718000002</v>
      </c>
      <c r="AN117" s="308">
        <v>11349.587718000002</v>
      </c>
      <c r="AO117" s="308">
        <v>11349.587718000002</v>
      </c>
      <c r="AP117" s="308">
        <v>11349.587718000002</v>
      </c>
      <c r="AQ117" s="308">
        <v>11349.587718000002</v>
      </c>
      <c r="AR117" s="308">
        <v>11349.587718000002</v>
      </c>
      <c r="AS117" s="308">
        <v>11349.587718000002</v>
      </c>
      <c r="AT117" s="308">
        <v>11349.587718000002</v>
      </c>
      <c r="AU117" s="308">
        <v>11349.587718000002</v>
      </c>
      <c r="AV117" s="308">
        <v>11349.587718000002</v>
      </c>
      <c r="AW117" s="308">
        <v>11349.587718000002</v>
      </c>
      <c r="AX117" s="308">
        <v>11349.587718000002</v>
      </c>
      <c r="AY117" s="308">
        <v>12598.042366980004</v>
      </c>
    </row>
    <row r="118" spans="3:51">
      <c r="C118" s="325">
        <v>360829</v>
      </c>
      <c r="D118" t="s">
        <v>344</v>
      </c>
      <c r="E118" t="s">
        <v>353</v>
      </c>
      <c r="F118">
        <v>319</v>
      </c>
      <c r="G118" t="s">
        <v>577</v>
      </c>
      <c r="H118" s="327">
        <v>4410073923</v>
      </c>
      <c r="I118" t="s">
        <v>578</v>
      </c>
      <c r="J118" t="s">
        <v>579</v>
      </c>
      <c r="K118" s="289">
        <v>9000</v>
      </c>
      <c r="L118" s="290">
        <v>44652</v>
      </c>
      <c r="M118" s="290">
        <v>45017</v>
      </c>
      <c r="N118">
        <v>365</v>
      </c>
      <c r="O118" s="291" t="s">
        <v>334</v>
      </c>
      <c r="P118" t="s">
        <v>349</v>
      </c>
      <c r="Q118" s="292">
        <v>0</v>
      </c>
      <c r="R118" s="292">
        <v>0</v>
      </c>
      <c r="S118" s="292">
        <v>750</v>
      </c>
      <c r="T118" s="292">
        <v>750</v>
      </c>
      <c r="U118" s="292">
        <v>750</v>
      </c>
      <c r="V118" s="292">
        <v>750</v>
      </c>
      <c r="W118" s="292">
        <v>750</v>
      </c>
      <c r="X118" s="292">
        <v>750</v>
      </c>
      <c r="Y118" s="292">
        <v>750</v>
      </c>
      <c r="Z118" s="292">
        <v>750</v>
      </c>
      <c r="AA118" s="292">
        <v>750</v>
      </c>
      <c r="AB118" s="292">
        <v>750</v>
      </c>
      <c r="AC118" s="292">
        <v>750</v>
      </c>
      <c r="AD118" s="292">
        <v>750</v>
      </c>
      <c r="AE118" s="292">
        <v>832.50000000000011</v>
      </c>
      <c r="AF118" s="308">
        <v>832.50000000000011</v>
      </c>
      <c r="AG118" s="308">
        <v>832.50000000000011</v>
      </c>
      <c r="AH118" s="308">
        <v>832.50000000000011</v>
      </c>
      <c r="AI118" s="308">
        <v>832.50000000000011</v>
      </c>
      <c r="AJ118" s="308">
        <v>832.50000000000011</v>
      </c>
      <c r="AK118" s="308">
        <v>832.50000000000011</v>
      </c>
      <c r="AL118" s="308">
        <v>832.50000000000011</v>
      </c>
      <c r="AM118" s="308">
        <v>832.50000000000011</v>
      </c>
      <c r="AN118" s="308">
        <v>832.50000000000011</v>
      </c>
      <c r="AO118" s="308">
        <v>832.50000000000011</v>
      </c>
      <c r="AP118" s="308">
        <v>832.50000000000011</v>
      </c>
      <c r="AQ118" s="308">
        <v>924.07500000000016</v>
      </c>
      <c r="AR118" s="308">
        <v>924.07500000000016</v>
      </c>
      <c r="AS118" s="308">
        <v>924.07500000000016</v>
      </c>
      <c r="AT118" s="308">
        <v>924.07500000000016</v>
      </c>
      <c r="AU118" s="308">
        <v>924.07500000000016</v>
      </c>
      <c r="AV118" s="308">
        <v>924.07500000000016</v>
      </c>
      <c r="AW118" s="308">
        <v>924.07500000000016</v>
      </c>
      <c r="AX118" s="308">
        <v>924.07500000000016</v>
      </c>
      <c r="AY118" s="308">
        <v>924.07500000000016</v>
      </c>
    </row>
    <row r="119" spans="3:51">
      <c r="C119" s="287">
        <v>356215</v>
      </c>
      <c r="D119" t="s">
        <v>344</v>
      </c>
      <c r="E119" t="s">
        <v>353</v>
      </c>
      <c r="F119">
        <v>319</v>
      </c>
      <c r="G119" t="s">
        <v>580</v>
      </c>
      <c r="H119" s="288">
        <v>65015819900</v>
      </c>
      <c r="I119" t="s">
        <v>581</v>
      </c>
      <c r="J119" t="s">
        <v>582</v>
      </c>
      <c r="K119" s="289">
        <v>32280.639999999999</v>
      </c>
      <c r="L119" s="290">
        <v>44501</v>
      </c>
      <c r="M119" s="290">
        <v>44865</v>
      </c>
      <c r="N119">
        <v>364</v>
      </c>
      <c r="O119" s="291" t="s">
        <v>334</v>
      </c>
      <c r="P119" t="s">
        <v>349</v>
      </c>
      <c r="Q119" s="292">
        <v>2606.7199999999998</v>
      </c>
      <c r="R119" s="292">
        <v>7820.16</v>
      </c>
      <c r="S119" s="292">
        <v>2456.8000000000002</v>
      </c>
      <c r="T119" s="292">
        <v>2456.8000000000002</v>
      </c>
      <c r="U119" s="292">
        <v>2456.8000000000002</v>
      </c>
      <c r="V119" s="292">
        <v>2456.8000000000002</v>
      </c>
      <c r="W119" s="292">
        <v>2456.8000000000002</v>
      </c>
      <c r="X119" s="292">
        <v>2456.8000000000002</v>
      </c>
      <c r="Y119" s="292">
        <v>2456.8000000000002</v>
      </c>
      <c r="Z119" s="308">
        <v>2727.0480000000002</v>
      </c>
      <c r="AA119" s="308">
        <v>2727.0480000000002</v>
      </c>
      <c r="AB119" s="308">
        <v>2727.0480000000002</v>
      </c>
      <c r="AC119" s="308">
        <v>2727.0480000000002</v>
      </c>
      <c r="AD119" s="308">
        <v>2727.0480000000002</v>
      </c>
      <c r="AE119" s="308">
        <v>2727.0480000000002</v>
      </c>
      <c r="AF119" s="308">
        <v>2727.0480000000002</v>
      </c>
      <c r="AG119" s="308">
        <v>2727.0480000000002</v>
      </c>
      <c r="AH119" s="308">
        <v>2727.0480000000002</v>
      </c>
      <c r="AI119" s="308">
        <v>2727.0480000000002</v>
      </c>
      <c r="AJ119" s="308">
        <v>2727.0480000000002</v>
      </c>
      <c r="AK119" s="308">
        <v>2727.0480000000002</v>
      </c>
      <c r="AL119" s="308">
        <v>3027.0232800000003</v>
      </c>
      <c r="AM119" s="308">
        <v>3027.0232800000003</v>
      </c>
      <c r="AN119" s="308">
        <v>3027.0232800000003</v>
      </c>
      <c r="AO119" s="308">
        <v>3027.0232800000003</v>
      </c>
      <c r="AP119" s="308">
        <v>3027.0232800000003</v>
      </c>
      <c r="AQ119" s="308">
        <v>3027.0232800000003</v>
      </c>
      <c r="AR119" s="308">
        <v>3027.0232800000003</v>
      </c>
      <c r="AS119" s="308">
        <v>3027.0232800000003</v>
      </c>
      <c r="AT119" s="308">
        <v>3027.0232800000003</v>
      </c>
      <c r="AU119" s="308">
        <v>3027.0232800000003</v>
      </c>
      <c r="AV119" s="308">
        <v>3027.0232800000003</v>
      </c>
      <c r="AW119" s="308">
        <v>3027.0232800000003</v>
      </c>
      <c r="AX119" s="308">
        <v>3359.9958408000007</v>
      </c>
      <c r="AY119" s="308">
        <v>3359.9958408000007</v>
      </c>
    </row>
    <row r="120" spans="3:51">
      <c r="C120" s="287">
        <v>332583</v>
      </c>
      <c r="D120" t="s">
        <v>344</v>
      </c>
      <c r="E120" t="s">
        <v>353</v>
      </c>
      <c r="F120">
        <v>319</v>
      </c>
      <c r="G120" t="s">
        <v>583</v>
      </c>
      <c r="H120" s="288">
        <v>19351771000151</v>
      </c>
      <c r="I120" t="s">
        <v>584</v>
      </c>
      <c r="J120" t="s">
        <v>585</v>
      </c>
      <c r="K120" s="289">
        <v>466000</v>
      </c>
      <c r="L120" s="290">
        <v>43952</v>
      </c>
      <c r="M120" s="290">
        <v>44681</v>
      </c>
      <c r="N120">
        <v>729</v>
      </c>
      <c r="O120" s="291" t="s">
        <v>334</v>
      </c>
      <c r="P120" t="s">
        <v>349</v>
      </c>
      <c r="Q120" s="292">
        <v>222000</v>
      </c>
      <c r="R120" s="292">
        <v>55500</v>
      </c>
      <c r="S120" s="292">
        <v>18500</v>
      </c>
      <c r="T120" s="308">
        <v>23000</v>
      </c>
      <c r="U120" s="308">
        <v>23000</v>
      </c>
      <c r="V120" s="308">
        <v>23000</v>
      </c>
      <c r="W120" s="308">
        <v>23000</v>
      </c>
      <c r="X120" s="308">
        <v>23000</v>
      </c>
      <c r="Y120" s="308">
        <v>23000</v>
      </c>
      <c r="Z120" s="308">
        <v>23000</v>
      </c>
      <c r="AA120" s="308">
        <v>23000</v>
      </c>
      <c r="AB120" s="308">
        <v>23000</v>
      </c>
      <c r="AC120" s="308">
        <v>23000</v>
      </c>
      <c r="AD120" s="308">
        <v>23000</v>
      </c>
      <c r="AE120" s="308">
        <v>23000</v>
      </c>
      <c r="AF120" s="308">
        <v>25530.000000000004</v>
      </c>
      <c r="AG120" s="308">
        <v>25530.000000000004</v>
      </c>
      <c r="AH120" s="308">
        <v>25530.000000000004</v>
      </c>
      <c r="AI120" s="308">
        <v>25530.000000000004</v>
      </c>
      <c r="AJ120" s="308">
        <v>25530.000000000004</v>
      </c>
      <c r="AK120" s="308">
        <v>25530.000000000004</v>
      </c>
      <c r="AL120" s="308">
        <v>25530.000000000004</v>
      </c>
      <c r="AM120" s="308">
        <v>25530.000000000004</v>
      </c>
      <c r="AN120" s="308">
        <v>25530.000000000004</v>
      </c>
      <c r="AO120" s="308">
        <v>25530.000000000004</v>
      </c>
      <c r="AP120" s="308">
        <v>25530.000000000004</v>
      </c>
      <c r="AQ120" s="308">
        <v>25530.000000000004</v>
      </c>
      <c r="AR120" s="308">
        <v>28338.300000000007</v>
      </c>
      <c r="AS120" s="308">
        <v>28338.300000000007</v>
      </c>
      <c r="AT120" s="308">
        <v>28338.300000000007</v>
      </c>
      <c r="AU120" s="308">
        <v>28338.300000000007</v>
      </c>
      <c r="AV120" s="308">
        <v>28338.300000000007</v>
      </c>
      <c r="AW120" s="308">
        <v>28338.300000000007</v>
      </c>
      <c r="AX120" s="308">
        <v>28338.300000000007</v>
      </c>
      <c r="AY120" s="308">
        <v>28338.300000000007</v>
      </c>
    </row>
    <row r="121" spans="3:51">
      <c r="C121" s="287" t="s">
        <v>586</v>
      </c>
      <c r="D121" t="s">
        <v>406</v>
      </c>
      <c r="E121" t="s">
        <v>359</v>
      </c>
      <c r="F121">
        <v>319</v>
      </c>
      <c r="G121" t="s">
        <v>583</v>
      </c>
      <c r="H121" s="288">
        <v>95768203915</v>
      </c>
      <c r="I121" t="s">
        <v>587</v>
      </c>
      <c r="J121" t="s">
        <v>588</v>
      </c>
      <c r="K121" s="289">
        <v>1356730.56</v>
      </c>
      <c r="L121" s="290">
        <v>43132</v>
      </c>
      <c r="M121" s="290">
        <v>44957</v>
      </c>
      <c r="N121">
        <v>1825</v>
      </c>
      <c r="O121" s="291" t="s">
        <v>334</v>
      </c>
      <c r="P121" t="s">
        <v>349</v>
      </c>
      <c r="Q121" s="292">
        <v>202809.07000000004</v>
      </c>
      <c r="R121" s="292">
        <v>42642.26</v>
      </c>
      <c r="S121" s="292">
        <v>1077.5</v>
      </c>
      <c r="T121" s="292">
        <v>1077.5</v>
      </c>
      <c r="U121" s="292">
        <v>1077.5</v>
      </c>
      <c r="V121" s="292">
        <v>1077.5</v>
      </c>
      <c r="W121" s="292">
        <v>1077.5</v>
      </c>
      <c r="X121" s="292">
        <v>1077.5</v>
      </c>
      <c r="Y121" s="292">
        <v>1077.5</v>
      </c>
      <c r="Z121" s="292">
        <v>1077.5</v>
      </c>
      <c r="AA121" s="292">
        <v>1077.5</v>
      </c>
      <c r="AB121" s="292">
        <v>1077.5</v>
      </c>
      <c r="AC121" s="308">
        <v>1196.0250000000001</v>
      </c>
      <c r="AD121" s="308">
        <v>1196.0250000000001</v>
      </c>
      <c r="AE121" s="308">
        <v>1196.0250000000001</v>
      </c>
      <c r="AF121" s="308">
        <v>1196.0250000000001</v>
      </c>
      <c r="AG121" s="308">
        <v>1196.0250000000001</v>
      </c>
      <c r="AH121" s="308">
        <v>1196.0250000000001</v>
      </c>
      <c r="AI121" s="308">
        <v>1196.0250000000001</v>
      </c>
      <c r="AJ121" s="308">
        <v>1196.0250000000001</v>
      </c>
      <c r="AK121" s="308">
        <v>1196.0250000000001</v>
      </c>
      <c r="AL121" s="308">
        <v>1196.0250000000001</v>
      </c>
      <c r="AM121" s="308">
        <v>1196.0250000000001</v>
      </c>
      <c r="AN121" s="308">
        <v>1196.0250000000001</v>
      </c>
      <c r="AO121" s="308">
        <v>1327.5877500000001</v>
      </c>
      <c r="AP121" s="308">
        <v>1327.5877500000001</v>
      </c>
      <c r="AQ121" s="308">
        <v>1327.5877500000001</v>
      </c>
      <c r="AR121" s="308">
        <v>1327.5877500000001</v>
      </c>
      <c r="AS121" s="308">
        <v>1327.5877500000001</v>
      </c>
      <c r="AT121" s="308">
        <v>1327.5877500000001</v>
      </c>
      <c r="AU121" s="308">
        <v>1327.5877500000001</v>
      </c>
      <c r="AV121" s="308">
        <v>1327.5877500000001</v>
      </c>
      <c r="AW121" s="308">
        <v>1327.5877500000001</v>
      </c>
      <c r="AX121" s="308">
        <v>1327.5877500000001</v>
      </c>
      <c r="AY121" s="308">
        <v>1327.5877500000001</v>
      </c>
    </row>
    <row r="122" spans="3:51">
      <c r="C122" s="287" t="s">
        <v>589</v>
      </c>
      <c r="D122" t="s">
        <v>406</v>
      </c>
      <c r="E122" t="s">
        <v>359</v>
      </c>
      <c r="F122">
        <v>319</v>
      </c>
      <c r="G122" t="s">
        <v>583</v>
      </c>
      <c r="H122" s="288">
        <v>42753180997</v>
      </c>
      <c r="I122" t="s">
        <v>590</v>
      </c>
      <c r="J122" t="s">
        <v>591</v>
      </c>
      <c r="K122" s="289">
        <v>100498.56</v>
      </c>
      <c r="L122" s="290">
        <v>43132</v>
      </c>
      <c r="M122" s="290">
        <v>44957</v>
      </c>
      <c r="N122">
        <v>1825</v>
      </c>
      <c r="O122" s="291" t="s">
        <v>334</v>
      </c>
      <c r="P122" t="s">
        <v>349</v>
      </c>
      <c r="Q122" s="292">
        <v>26836.110000000004</v>
      </c>
      <c r="R122" s="292">
        <v>7215.87</v>
      </c>
      <c r="S122" s="292">
        <v>2456.8000000000002</v>
      </c>
      <c r="T122" s="292">
        <v>2456.8000000000002</v>
      </c>
      <c r="U122" s="292">
        <v>2456.8000000000002</v>
      </c>
      <c r="V122" s="292">
        <v>2456.8000000000002</v>
      </c>
      <c r="W122" s="292">
        <v>2456.8000000000002</v>
      </c>
      <c r="X122" s="292">
        <v>2456.8000000000002</v>
      </c>
      <c r="Y122" s="292">
        <v>2456.8000000000002</v>
      </c>
      <c r="Z122" s="292">
        <v>2456.8000000000002</v>
      </c>
      <c r="AA122" s="292">
        <v>2456.8000000000002</v>
      </c>
      <c r="AB122" s="292">
        <v>2456.8000000000002</v>
      </c>
      <c r="AC122" s="308">
        <v>2727.0480000000002</v>
      </c>
      <c r="AD122" s="308">
        <v>2727.0480000000002</v>
      </c>
      <c r="AE122" s="308">
        <v>2727.0480000000002</v>
      </c>
      <c r="AF122" s="308">
        <v>2727.0480000000002</v>
      </c>
      <c r="AG122" s="308">
        <v>2727.0480000000002</v>
      </c>
      <c r="AH122" s="308">
        <v>2727.0480000000002</v>
      </c>
      <c r="AI122" s="308">
        <v>2727.0480000000002</v>
      </c>
      <c r="AJ122" s="308">
        <v>2727.0480000000002</v>
      </c>
      <c r="AK122" s="308">
        <v>2727.0480000000002</v>
      </c>
      <c r="AL122" s="308">
        <v>2727.0480000000002</v>
      </c>
      <c r="AM122" s="308">
        <v>2727.0480000000002</v>
      </c>
      <c r="AN122" s="308">
        <v>2727.0480000000002</v>
      </c>
      <c r="AO122" s="308">
        <v>3027.0232800000003</v>
      </c>
      <c r="AP122" s="308">
        <v>3027.0232800000003</v>
      </c>
      <c r="AQ122" s="308">
        <v>3027.0232800000003</v>
      </c>
      <c r="AR122" s="308">
        <v>3027.0232800000003</v>
      </c>
      <c r="AS122" s="308">
        <v>3027.0232800000003</v>
      </c>
      <c r="AT122" s="308">
        <v>3027.0232800000003</v>
      </c>
      <c r="AU122" s="308">
        <v>3027.0232800000003</v>
      </c>
      <c r="AV122" s="308">
        <v>3027.0232800000003</v>
      </c>
      <c r="AW122" s="308">
        <v>3027.0232800000003</v>
      </c>
      <c r="AX122" s="308">
        <v>3027.0232800000003</v>
      </c>
      <c r="AY122" s="308">
        <v>3027.0232800000003</v>
      </c>
    </row>
    <row r="123" spans="3:51">
      <c r="C123" s="287">
        <v>325434</v>
      </c>
      <c r="D123" t="s">
        <v>344</v>
      </c>
      <c r="E123" t="s">
        <v>345</v>
      </c>
      <c r="F123">
        <v>319</v>
      </c>
      <c r="G123" t="s">
        <v>592</v>
      </c>
      <c r="H123" s="288">
        <v>92807933904</v>
      </c>
      <c r="I123" t="s">
        <v>593</v>
      </c>
      <c r="J123" t="s">
        <v>594</v>
      </c>
      <c r="K123" s="289">
        <v>157570.56</v>
      </c>
      <c r="L123" s="290">
        <v>43810</v>
      </c>
      <c r="M123" s="290">
        <v>44905</v>
      </c>
      <c r="N123">
        <v>1095</v>
      </c>
      <c r="O123" s="291" t="s">
        <v>334</v>
      </c>
      <c r="P123" t="s">
        <v>349</v>
      </c>
      <c r="Q123" s="292">
        <v>52523.519999999997</v>
      </c>
      <c r="R123" s="292">
        <v>8753.92</v>
      </c>
      <c r="S123" s="292">
        <v>5159.99</v>
      </c>
      <c r="T123" s="292">
        <v>5159.99</v>
      </c>
      <c r="U123" s="292">
        <v>5159.99</v>
      </c>
      <c r="V123" s="292">
        <v>5159.99</v>
      </c>
      <c r="W123" s="292">
        <v>5159.99</v>
      </c>
      <c r="X123" s="292">
        <v>5159.99</v>
      </c>
      <c r="Y123" s="292">
        <v>5159.99</v>
      </c>
      <c r="Z123" s="292">
        <v>5159.99</v>
      </c>
      <c r="AA123" s="292">
        <v>5727.5889000000006</v>
      </c>
      <c r="AB123" s="308">
        <v>5727.5889000000006</v>
      </c>
      <c r="AC123" s="308">
        <v>5727.5889000000006</v>
      </c>
      <c r="AD123" s="308">
        <v>5727.5889000000006</v>
      </c>
      <c r="AE123" s="308">
        <v>5727.5889000000006</v>
      </c>
      <c r="AF123" s="308">
        <v>5727.5889000000006</v>
      </c>
      <c r="AG123" s="308">
        <v>5727.5889000000006</v>
      </c>
      <c r="AH123" s="308">
        <v>5727.5889000000006</v>
      </c>
      <c r="AI123" s="308">
        <v>5727.5889000000006</v>
      </c>
      <c r="AJ123" s="308">
        <v>5727.5889000000006</v>
      </c>
      <c r="AK123" s="308">
        <v>5727.5889000000006</v>
      </c>
      <c r="AL123" s="308">
        <v>5727.5889000000006</v>
      </c>
      <c r="AM123" s="308">
        <v>6357.6236790000012</v>
      </c>
      <c r="AN123" s="308">
        <v>6357.6236790000012</v>
      </c>
      <c r="AO123" s="308">
        <v>6357.6236790000012</v>
      </c>
      <c r="AP123" s="308">
        <v>6357.6236790000012</v>
      </c>
      <c r="AQ123" s="308">
        <v>6357.6236790000012</v>
      </c>
      <c r="AR123" s="308">
        <v>6357.6236790000012</v>
      </c>
      <c r="AS123" s="308">
        <v>6357.6236790000012</v>
      </c>
      <c r="AT123" s="308">
        <v>6357.6236790000012</v>
      </c>
      <c r="AU123" s="308">
        <v>6357.6236790000012</v>
      </c>
      <c r="AV123" s="308">
        <v>6357.6236790000012</v>
      </c>
      <c r="AW123" s="308">
        <v>6357.6236790000012</v>
      </c>
      <c r="AX123" s="308">
        <v>6357.6236790000012</v>
      </c>
      <c r="AY123" s="308">
        <v>7056.9622836900016</v>
      </c>
    </row>
    <row r="124" spans="3:51">
      <c r="C124" s="287">
        <v>356470</v>
      </c>
      <c r="D124" t="s">
        <v>344</v>
      </c>
      <c r="E124" t="s">
        <v>384</v>
      </c>
      <c r="F124">
        <v>319</v>
      </c>
      <c r="G124" t="s">
        <v>595</v>
      </c>
      <c r="H124" s="288">
        <v>33779759934</v>
      </c>
      <c r="I124" t="s">
        <v>596</v>
      </c>
      <c r="J124" t="s">
        <v>597</v>
      </c>
      <c r="K124" s="289">
        <v>28357.8</v>
      </c>
      <c r="L124" s="290">
        <v>44543</v>
      </c>
      <c r="M124" s="290">
        <v>44907</v>
      </c>
      <c r="N124">
        <v>364</v>
      </c>
      <c r="O124" s="291" t="s">
        <v>334</v>
      </c>
      <c r="P124" t="s">
        <v>349</v>
      </c>
      <c r="Q124" s="292">
        <v>0</v>
      </c>
      <c r="R124" s="292">
        <v>5883.85</v>
      </c>
      <c r="S124" s="292">
        <v>2263.15</v>
      </c>
      <c r="T124" s="292">
        <v>2263.15</v>
      </c>
      <c r="U124" s="292">
        <v>2263.15</v>
      </c>
      <c r="V124" s="292">
        <v>2263.15</v>
      </c>
      <c r="W124" s="292">
        <v>2263.15</v>
      </c>
      <c r="X124" s="292">
        <v>2263.15</v>
      </c>
      <c r="Y124" s="292">
        <v>2263.15</v>
      </c>
      <c r="Z124" s="292">
        <v>2263.15</v>
      </c>
      <c r="AA124" s="292">
        <v>2263.15</v>
      </c>
      <c r="AB124" s="308">
        <v>2512.0965000000001</v>
      </c>
      <c r="AC124" s="308">
        <v>2512.0965000000001</v>
      </c>
      <c r="AD124" s="308">
        <v>2512.0965000000001</v>
      </c>
      <c r="AE124" s="308">
        <v>2512.0965000000001</v>
      </c>
      <c r="AF124" s="308">
        <v>2512.0965000000001</v>
      </c>
      <c r="AG124" s="308">
        <v>2512.0965000000001</v>
      </c>
      <c r="AH124" s="308">
        <v>2512.0965000000001</v>
      </c>
      <c r="AI124" s="308">
        <v>2512.0965000000001</v>
      </c>
      <c r="AJ124" s="308">
        <v>2512.0965000000001</v>
      </c>
      <c r="AK124" s="308">
        <v>2512.0965000000001</v>
      </c>
      <c r="AL124" s="308">
        <v>2512.0965000000001</v>
      </c>
      <c r="AM124" s="308">
        <v>2512.0965000000001</v>
      </c>
      <c r="AN124" s="308">
        <v>2788.4271150000004</v>
      </c>
      <c r="AO124" s="308">
        <v>2788.4271150000004</v>
      </c>
      <c r="AP124" s="308">
        <v>2788.4271150000004</v>
      </c>
      <c r="AQ124" s="308">
        <v>2788.4271150000004</v>
      </c>
      <c r="AR124" s="308">
        <v>2788.4271150000004</v>
      </c>
      <c r="AS124" s="308">
        <v>2788.4271150000004</v>
      </c>
      <c r="AT124" s="308">
        <v>2788.4271150000004</v>
      </c>
      <c r="AU124" s="308">
        <v>2788.4271150000004</v>
      </c>
      <c r="AV124" s="308">
        <v>2788.4271150000004</v>
      </c>
      <c r="AW124" s="308">
        <v>2788.4271150000004</v>
      </c>
      <c r="AX124" s="308">
        <v>2788.4271150000004</v>
      </c>
      <c r="AY124" s="308">
        <v>2788.4271150000004</v>
      </c>
    </row>
    <row r="125" spans="3:51">
      <c r="C125" s="287" t="s">
        <v>598</v>
      </c>
      <c r="D125" t="s">
        <v>406</v>
      </c>
      <c r="E125" t="s">
        <v>359</v>
      </c>
      <c r="F125">
        <v>319</v>
      </c>
      <c r="G125" t="s">
        <v>599</v>
      </c>
      <c r="H125" s="288">
        <v>95549749904</v>
      </c>
      <c r="I125" t="s">
        <v>600</v>
      </c>
      <c r="J125" t="s">
        <v>601</v>
      </c>
      <c r="K125" s="289">
        <v>43200</v>
      </c>
      <c r="L125" s="290">
        <v>43647</v>
      </c>
      <c r="M125" s="290">
        <v>44742</v>
      </c>
      <c r="N125">
        <v>1095</v>
      </c>
      <c r="O125" s="291" t="s">
        <v>334</v>
      </c>
      <c r="P125" t="s">
        <v>349</v>
      </c>
      <c r="Q125" s="292">
        <v>14599.59</v>
      </c>
      <c r="R125" s="292">
        <v>3600</v>
      </c>
      <c r="S125" s="292">
        <v>1200</v>
      </c>
      <c r="T125" s="292">
        <v>1200</v>
      </c>
      <c r="U125" s="292">
        <v>1200</v>
      </c>
      <c r="V125" s="308">
        <v>1332.0000000000002</v>
      </c>
      <c r="W125" s="308">
        <v>1332.0000000000002</v>
      </c>
      <c r="X125" s="308">
        <v>1332.0000000000002</v>
      </c>
      <c r="Y125" s="308">
        <v>1332.0000000000002</v>
      </c>
      <c r="Z125" s="308">
        <v>1332.0000000000002</v>
      </c>
      <c r="AA125" s="308">
        <v>1332.0000000000002</v>
      </c>
      <c r="AB125" s="308">
        <v>1332.0000000000002</v>
      </c>
      <c r="AC125" s="308">
        <v>1332.0000000000002</v>
      </c>
      <c r="AD125" s="308">
        <v>1332.0000000000002</v>
      </c>
      <c r="AE125" s="308">
        <v>1332.0000000000002</v>
      </c>
      <c r="AF125" s="308">
        <v>1332.0000000000002</v>
      </c>
      <c r="AG125" s="308">
        <v>1332.0000000000002</v>
      </c>
      <c r="AH125" s="308">
        <v>1478.5200000000004</v>
      </c>
      <c r="AI125" s="308">
        <v>1478.5200000000004</v>
      </c>
      <c r="AJ125" s="308">
        <v>1478.5200000000004</v>
      </c>
      <c r="AK125" s="308">
        <v>1478.5200000000004</v>
      </c>
      <c r="AL125" s="308">
        <v>1478.5200000000004</v>
      </c>
      <c r="AM125" s="308">
        <v>1478.5200000000004</v>
      </c>
      <c r="AN125" s="308">
        <v>1478.5200000000004</v>
      </c>
      <c r="AO125" s="308">
        <v>1478.5200000000004</v>
      </c>
      <c r="AP125" s="308">
        <v>1478.5200000000004</v>
      </c>
      <c r="AQ125" s="308">
        <v>1478.5200000000004</v>
      </c>
      <c r="AR125" s="308">
        <v>1478.5200000000004</v>
      </c>
      <c r="AS125" s="308">
        <v>1478.5200000000004</v>
      </c>
      <c r="AT125" s="308">
        <v>1641.1572000000006</v>
      </c>
      <c r="AU125" s="308">
        <v>1641.1572000000006</v>
      </c>
      <c r="AV125" s="308">
        <v>1641.1572000000006</v>
      </c>
      <c r="AW125" s="308">
        <v>1641.1572000000006</v>
      </c>
      <c r="AX125" s="308">
        <v>1641.1572000000006</v>
      </c>
      <c r="AY125" s="308">
        <v>1641.1572000000006</v>
      </c>
    </row>
    <row r="126" spans="3:51">
      <c r="C126" s="287">
        <v>361749</v>
      </c>
      <c r="D126" t="s">
        <v>344</v>
      </c>
      <c r="E126" t="s">
        <v>353</v>
      </c>
      <c r="F126">
        <v>319</v>
      </c>
      <c r="G126" t="s">
        <v>599</v>
      </c>
      <c r="H126" s="305">
        <v>95549749904</v>
      </c>
      <c r="I126" t="s">
        <v>600</v>
      </c>
      <c r="J126" t="s">
        <v>602</v>
      </c>
      <c r="K126" s="289">
        <v>2400</v>
      </c>
      <c r="L126" s="290">
        <v>43647</v>
      </c>
      <c r="M126" s="290">
        <v>44742</v>
      </c>
      <c r="N126">
        <v>1095</v>
      </c>
      <c r="O126" s="291" t="s">
        <v>334</v>
      </c>
      <c r="P126" t="s">
        <v>349</v>
      </c>
      <c r="Q126" s="292">
        <v>0</v>
      </c>
      <c r="R126" s="292">
        <v>0</v>
      </c>
      <c r="S126" s="292">
        <v>66.67</v>
      </c>
      <c r="T126" s="292">
        <v>66.67</v>
      </c>
      <c r="U126" s="292">
        <v>66.67</v>
      </c>
      <c r="V126" s="308">
        <v>66.67</v>
      </c>
      <c r="W126" s="308">
        <v>66.67</v>
      </c>
      <c r="X126" s="308">
        <v>66.67</v>
      </c>
      <c r="Y126" s="308">
        <v>66.67</v>
      </c>
      <c r="Z126" s="308">
        <v>66.67</v>
      </c>
      <c r="AA126" s="308">
        <v>66.67</v>
      </c>
      <c r="AB126" s="308">
        <v>73.337000000000003</v>
      </c>
      <c r="AC126" s="308">
        <v>73.337000000000003</v>
      </c>
      <c r="AD126" s="308">
        <v>73.337000000000003</v>
      </c>
      <c r="AE126" s="308">
        <v>73.337000000000003</v>
      </c>
      <c r="AF126" s="308">
        <v>73.337000000000003</v>
      </c>
      <c r="AG126" s="308">
        <v>73.337000000000003</v>
      </c>
      <c r="AH126" s="308">
        <v>73.337000000000003</v>
      </c>
      <c r="AI126" s="308">
        <v>73.337000000000003</v>
      </c>
      <c r="AJ126" s="308">
        <v>73.337000000000003</v>
      </c>
      <c r="AK126" s="308">
        <v>73.337000000000003</v>
      </c>
      <c r="AL126" s="308">
        <v>73.337000000000003</v>
      </c>
      <c r="AM126" s="308">
        <v>73.337000000000003</v>
      </c>
      <c r="AN126" s="308">
        <v>81.404070000000004</v>
      </c>
      <c r="AO126" s="308">
        <v>81.404070000000004</v>
      </c>
      <c r="AP126" s="308">
        <v>81.404070000000004</v>
      </c>
      <c r="AQ126" s="308">
        <v>81.404070000000004</v>
      </c>
      <c r="AR126" s="308">
        <v>81.404070000000004</v>
      </c>
      <c r="AS126" s="308">
        <v>81.404070000000004</v>
      </c>
      <c r="AT126" s="308">
        <v>81.404070000000004</v>
      </c>
      <c r="AU126" s="308">
        <v>81.404070000000004</v>
      </c>
      <c r="AV126" s="308">
        <v>81.404070000000004</v>
      </c>
      <c r="AW126" s="308">
        <v>81.404070000000004</v>
      </c>
      <c r="AX126" s="308">
        <v>81.404070000000004</v>
      </c>
      <c r="AY126" s="308">
        <v>81.404070000000004</v>
      </c>
    </row>
    <row r="127" spans="3:51">
      <c r="C127" s="287" t="s">
        <v>603</v>
      </c>
      <c r="D127" t="s">
        <v>406</v>
      </c>
      <c r="E127" t="s">
        <v>359</v>
      </c>
      <c r="F127">
        <v>319</v>
      </c>
      <c r="G127" t="s">
        <v>604</v>
      </c>
      <c r="H127" s="288">
        <v>55901875915</v>
      </c>
      <c r="I127" t="s">
        <v>605</v>
      </c>
      <c r="J127" t="s">
        <v>606</v>
      </c>
      <c r="K127" s="289">
        <v>108000</v>
      </c>
      <c r="L127" s="290">
        <v>43221</v>
      </c>
      <c r="M127" s="290">
        <v>45046</v>
      </c>
      <c r="N127">
        <v>1825</v>
      </c>
      <c r="O127" s="291" t="s">
        <v>334</v>
      </c>
      <c r="P127" t="s">
        <v>349</v>
      </c>
      <c r="Q127" s="292">
        <v>21600</v>
      </c>
      <c r="R127" s="292">
        <v>5400</v>
      </c>
      <c r="S127" s="292">
        <v>1800</v>
      </c>
      <c r="T127" s="292">
        <v>1998.0000000000002</v>
      </c>
      <c r="U127" s="292">
        <v>1998.0000000000002</v>
      </c>
      <c r="V127" s="292">
        <v>1998.0000000000002</v>
      </c>
      <c r="W127" s="292">
        <v>1998.0000000000002</v>
      </c>
      <c r="X127" s="292">
        <v>1998.0000000000002</v>
      </c>
      <c r="Y127" s="292">
        <v>1998.0000000000002</v>
      </c>
      <c r="Z127" s="292">
        <v>1998.0000000000002</v>
      </c>
      <c r="AA127" s="292">
        <v>1998.0000000000002</v>
      </c>
      <c r="AB127" s="292">
        <v>1998.0000000000002</v>
      </c>
      <c r="AC127" s="292">
        <v>1998.0000000000002</v>
      </c>
      <c r="AD127" s="292">
        <v>1998.0000000000002</v>
      </c>
      <c r="AE127" s="292">
        <v>1998.0000000000002</v>
      </c>
      <c r="AF127" s="308">
        <v>2217.7800000000007</v>
      </c>
      <c r="AG127" s="308">
        <v>2217.7800000000007</v>
      </c>
      <c r="AH127" s="308">
        <v>2217.7800000000007</v>
      </c>
      <c r="AI127" s="308">
        <v>2217.7800000000007</v>
      </c>
      <c r="AJ127" s="308">
        <v>2217.7800000000007</v>
      </c>
      <c r="AK127" s="308">
        <v>2217.7800000000007</v>
      </c>
      <c r="AL127" s="308">
        <v>2217.7800000000007</v>
      </c>
      <c r="AM127" s="308">
        <v>2217.7800000000007</v>
      </c>
      <c r="AN127" s="308">
        <v>2217.7800000000007</v>
      </c>
      <c r="AO127" s="308">
        <v>2217.7800000000007</v>
      </c>
      <c r="AP127" s="308">
        <v>2217.7800000000007</v>
      </c>
      <c r="AQ127" s="308">
        <v>2217.7800000000007</v>
      </c>
      <c r="AR127" s="308">
        <v>2461.7358000000008</v>
      </c>
      <c r="AS127" s="308">
        <v>2461.7358000000008</v>
      </c>
      <c r="AT127" s="308">
        <v>2461.7358000000008</v>
      </c>
      <c r="AU127" s="308">
        <v>2461.7358000000008</v>
      </c>
      <c r="AV127" s="308">
        <v>2461.7358000000008</v>
      </c>
      <c r="AW127" s="308">
        <v>2461.7358000000008</v>
      </c>
      <c r="AX127" s="308">
        <v>2461.7358000000008</v>
      </c>
      <c r="AY127" s="308">
        <v>2461.7358000000008</v>
      </c>
    </row>
    <row r="128" spans="3:51">
      <c r="C128" s="287">
        <v>355794</v>
      </c>
      <c r="D128" t="s">
        <v>344</v>
      </c>
      <c r="E128" t="s">
        <v>345</v>
      </c>
      <c r="F128">
        <v>319</v>
      </c>
      <c r="G128" t="s">
        <v>607</v>
      </c>
      <c r="H128" s="288">
        <v>89749871987</v>
      </c>
      <c r="I128" t="s">
        <v>608</v>
      </c>
      <c r="J128" t="s">
        <v>609</v>
      </c>
      <c r="K128" s="289">
        <v>16239</v>
      </c>
      <c r="L128" s="290">
        <v>44454</v>
      </c>
      <c r="M128" s="290">
        <v>44818</v>
      </c>
      <c r="N128">
        <v>364</v>
      </c>
      <c r="O128" s="291" t="s">
        <v>334</v>
      </c>
      <c r="P128" t="s">
        <v>349</v>
      </c>
      <c r="Q128" s="292">
        <v>4059.75</v>
      </c>
      <c r="R128" s="292">
        <v>4059.75</v>
      </c>
      <c r="S128" s="292">
        <v>1353.25</v>
      </c>
      <c r="T128" s="292">
        <v>1353.25</v>
      </c>
      <c r="U128" s="292">
        <v>1353.25</v>
      </c>
      <c r="V128" s="292">
        <v>1353.25</v>
      </c>
      <c r="W128" s="292">
        <v>1353.25</v>
      </c>
      <c r="X128" s="292">
        <v>1353.25</v>
      </c>
      <c r="Y128" s="308">
        <v>1502.1075000000001</v>
      </c>
      <c r="Z128" s="308">
        <v>1502.1075000000001</v>
      </c>
      <c r="AA128" s="308">
        <v>1502.1075000000001</v>
      </c>
      <c r="AB128" s="308">
        <v>1502.1075000000001</v>
      </c>
      <c r="AC128" s="308">
        <v>1502.1075000000001</v>
      </c>
      <c r="AD128" s="308">
        <v>1502.1075000000001</v>
      </c>
      <c r="AE128" s="308">
        <v>1502.1075000000001</v>
      </c>
      <c r="AF128" s="308">
        <v>1502.1075000000001</v>
      </c>
      <c r="AG128" s="308">
        <v>1502.1075000000001</v>
      </c>
      <c r="AH128" s="308">
        <v>1502.1075000000001</v>
      </c>
      <c r="AI128" s="308">
        <v>1502.1075000000001</v>
      </c>
      <c r="AJ128" s="308">
        <v>1502.1075000000001</v>
      </c>
      <c r="AK128" s="308">
        <v>1667.3393250000001</v>
      </c>
      <c r="AL128" s="308">
        <v>1667.3393250000001</v>
      </c>
      <c r="AM128" s="308">
        <v>1667.3393250000001</v>
      </c>
      <c r="AN128" s="308">
        <v>1667.3393250000001</v>
      </c>
      <c r="AO128" s="308">
        <v>1667.3393250000001</v>
      </c>
      <c r="AP128" s="308">
        <v>1667.3393250000001</v>
      </c>
      <c r="AQ128" s="308">
        <v>1667.3393250000001</v>
      </c>
      <c r="AR128" s="308">
        <v>1667.3393250000001</v>
      </c>
      <c r="AS128" s="308">
        <v>1667.3393250000001</v>
      </c>
      <c r="AT128" s="308">
        <v>1667.3393250000001</v>
      </c>
      <c r="AU128" s="308">
        <v>1667.3393250000001</v>
      </c>
      <c r="AV128" s="308">
        <v>1667.3393250000001</v>
      </c>
      <c r="AW128" s="308">
        <v>1850.7466507500003</v>
      </c>
      <c r="AX128" s="308">
        <v>1850.7466507500003</v>
      </c>
      <c r="AY128" s="308">
        <v>1850.7466507500003</v>
      </c>
    </row>
    <row r="129" spans="2:51">
      <c r="C129" s="287">
        <v>347644</v>
      </c>
      <c r="D129" t="s">
        <v>344</v>
      </c>
      <c r="E129" t="s">
        <v>353</v>
      </c>
      <c r="F129">
        <v>319</v>
      </c>
      <c r="G129" t="s">
        <v>610</v>
      </c>
      <c r="H129" s="288">
        <v>35432527987</v>
      </c>
      <c r="I129" t="s">
        <v>611</v>
      </c>
      <c r="J129" t="s">
        <v>612</v>
      </c>
      <c r="K129" s="289">
        <v>28999.919999999998</v>
      </c>
      <c r="L129" s="290">
        <v>44297</v>
      </c>
      <c r="M129" s="290">
        <v>44661</v>
      </c>
      <c r="N129">
        <v>364</v>
      </c>
      <c r="O129" s="291" t="s">
        <v>334</v>
      </c>
      <c r="P129" t="s">
        <v>349</v>
      </c>
      <c r="Q129" s="292">
        <v>20702.719999999998</v>
      </c>
      <c r="R129" s="292">
        <v>7249.98</v>
      </c>
      <c r="S129" s="292">
        <v>2416.66</v>
      </c>
      <c r="T129" s="308">
        <v>2682.4926</v>
      </c>
      <c r="U129" s="308">
        <v>2682.4926</v>
      </c>
      <c r="V129" s="308">
        <v>2682.4926</v>
      </c>
      <c r="W129" s="308">
        <v>2682.4926</v>
      </c>
      <c r="X129" s="308">
        <v>2682.4926</v>
      </c>
      <c r="Y129" s="308">
        <v>2682.4926</v>
      </c>
      <c r="Z129" s="308">
        <v>2682.4926</v>
      </c>
      <c r="AA129" s="308">
        <v>2682.4926</v>
      </c>
      <c r="AB129" s="308">
        <v>2682.4926</v>
      </c>
      <c r="AC129" s="308">
        <v>2682.4926</v>
      </c>
      <c r="AD129" s="308">
        <v>2682.4926</v>
      </c>
      <c r="AE129" s="308">
        <v>2682.4926</v>
      </c>
      <c r="AF129" s="308">
        <v>2977.5667860000003</v>
      </c>
      <c r="AG129" s="308">
        <v>2977.5667860000003</v>
      </c>
      <c r="AH129" s="308">
        <v>2977.5667860000003</v>
      </c>
      <c r="AI129" s="308">
        <v>2977.5667860000003</v>
      </c>
      <c r="AJ129" s="308">
        <v>2977.5667860000003</v>
      </c>
      <c r="AK129" s="308">
        <v>2977.5667860000003</v>
      </c>
      <c r="AL129" s="308">
        <v>2977.5667860000003</v>
      </c>
      <c r="AM129" s="308">
        <v>2977.5667860000003</v>
      </c>
      <c r="AN129" s="308">
        <v>2977.5667860000003</v>
      </c>
      <c r="AO129" s="308">
        <v>2977.5667860000003</v>
      </c>
      <c r="AP129" s="308">
        <v>2977.5667860000003</v>
      </c>
      <c r="AQ129" s="308">
        <v>2977.5667860000003</v>
      </c>
      <c r="AR129" s="308">
        <v>3305.0991324600004</v>
      </c>
      <c r="AS129" s="308">
        <v>3305.0991324600004</v>
      </c>
      <c r="AT129" s="308">
        <v>3305.0991324600004</v>
      </c>
      <c r="AU129" s="308">
        <v>3305.0991324600004</v>
      </c>
      <c r="AV129" s="308">
        <v>3305.0991324600004</v>
      </c>
      <c r="AW129" s="308">
        <v>3305.0991324600004</v>
      </c>
      <c r="AX129" s="308">
        <v>3305.0991324600004</v>
      </c>
      <c r="AY129" s="308">
        <v>3305.0991324600004</v>
      </c>
    </row>
    <row r="130" spans="2:51">
      <c r="C130" s="287">
        <v>335576</v>
      </c>
      <c r="D130" t="s">
        <v>344</v>
      </c>
      <c r="E130" t="s">
        <v>345</v>
      </c>
      <c r="F130">
        <v>319</v>
      </c>
      <c r="G130" t="s">
        <v>613</v>
      </c>
      <c r="H130" s="288">
        <v>60185872972</v>
      </c>
      <c r="I130" t="s">
        <v>614</v>
      </c>
      <c r="J130" t="s">
        <v>462</v>
      </c>
      <c r="K130" s="289">
        <v>18100.8</v>
      </c>
      <c r="L130" s="290">
        <v>44013</v>
      </c>
      <c r="M130" s="290">
        <v>44743</v>
      </c>
      <c r="N130">
        <v>730</v>
      </c>
      <c r="O130" s="291" t="s">
        <v>334</v>
      </c>
      <c r="P130" t="s">
        <v>349</v>
      </c>
      <c r="Q130" s="292">
        <v>8750.4</v>
      </c>
      <c r="R130" s="292">
        <v>729.2</v>
      </c>
      <c r="S130" s="292">
        <v>604.20000000000005</v>
      </c>
      <c r="T130" s="292">
        <v>604.20000000000005</v>
      </c>
      <c r="U130" s="292">
        <v>604.20000000000005</v>
      </c>
      <c r="V130" s="292">
        <v>670.66200000000015</v>
      </c>
      <c r="W130" s="308">
        <v>670.66200000000015</v>
      </c>
      <c r="X130" s="308">
        <v>670.66200000000015</v>
      </c>
      <c r="Y130" s="308">
        <v>670.66200000000015</v>
      </c>
      <c r="Z130" s="308">
        <v>670.66200000000015</v>
      </c>
      <c r="AA130" s="308">
        <v>670.66200000000015</v>
      </c>
      <c r="AB130" s="308">
        <v>670.66200000000015</v>
      </c>
      <c r="AC130" s="308">
        <v>670.66200000000015</v>
      </c>
      <c r="AD130" s="308">
        <v>670.66200000000015</v>
      </c>
      <c r="AE130" s="308">
        <v>670.66200000000015</v>
      </c>
      <c r="AF130" s="308">
        <v>670.66200000000015</v>
      </c>
      <c r="AG130" s="308">
        <v>670.66200000000015</v>
      </c>
      <c r="AH130" s="308">
        <v>744.43482000000029</v>
      </c>
      <c r="AI130" s="308">
        <v>744.43482000000029</v>
      </c>
      <c r="AJ130" s="308">
        <v>744.43482000000029</v>
      </c>
      <c r="AK130" s="308">
        <v>744.43482000000029</v>
      </c>
      <c r="AL130" s="308">
        <v>744.43482000000029</v>
      </c>
      <c r="AM130" s="308">
        <v>744.43482000000029</v>
      </c>
      <c r="AN130" s="308">
        <v>744.43482000000029</v>
      </c>
      <c r="AO130" s="308">
        <v>744.43482000000029</v>
      </c>
      <c r="AP130" s="308">
        <v>744.43482000000029</v>
      </c>
      <c r="AQ130" s="308">
        <v>744.43482000000029</v>
      </c>
      <c r="AR130" s="308">
        <v>744.43482000000029</v>
      </c>
      <c r="AS130" s="308">
        <v>744.43482000000029</v>
      </c>
      <c r="AT130" s="308">
        <v>826.32265020000034</v>
      </c>
      <c r="AU130" s="308">
        <v>826.32265020000034</v>
      </c>
      <c r="AV130" s="308">
        <v>826.32265020000034</v>
      </c>
      <c r="AW130" s="308">
        <v>826.32265020000034</v>
      </c>
      <c r="AX130" s="308">
        <v>826.32265020000034</v>
      </c>
      <c r="AY130" s="308">
        <v>826.32265020000034</v>
      </c>
    </row>
    <row r="131" spans="2:51">
      <c r="C131" s="287">
        <v>346048</v>
      </c>
      <c r="D131" t="s">
        <v>344</v>
      </c>
      <c r="E131" t="s">
        <v>359</v>
      </c>
      <c r="F131">
        <v>312</v>
      </c>
      <c r="G131" t="s">
        <v>615</v>
      </c>
      <c r="H131" s="288">
        <v>2214964000168</v>
      </c>
      <c r="I131" t="s">
        <v>616</v>
      </c>
      <c r="J131" t="s">
        <v>617</v>
      </c>
      <c r="K131" s="289">
        <v>24720</v>
      </c>
      <c r="L131" s="290">
        <v>44263</v>
      </c>
      <c r="M131" s="290">
        <v>44993</v>
      </c>
      <c r="N131">
        <v>730</v>
      </c>
      <c r="O131" s="291" t="s">
        <v>334</v>
      </c>
      <c r="P131" t="s">
        <v>349</v>
      </c>
      <c r="Q131" s="292">
        <v>0</v>
      </c>
      <c r="R131" s="292">
        <v>3090</v>
      </c>
      <c r="S131" s="292">
        <v>1030</v>
      </c>
      <c r="T131" s="292">
        <v>1030</v>
      </c>
      <c r="U131" s="292">
        <v>1030</v>
      </c>
      <c r="V131" s="292">
        <v>1030</v>
      </c>
      <c r="W131" s="292">
        <v>1030</v>
      </c>
      <c r="X131" s="292">
        <v>1030</v>
      </c>
      <c r="Y131" s="292">
        <v>1030</v>
      </c>
      <c r="Z131" s="292">
        <v>1030</v>
      </c>
      <c r="AA131" s="292">
        <v>1030</v>
      </c>
      <c r="AB131" s="292">
        <v>1030</v>
      </c>
      <c r="AC131" s="292">
        <v>1030</v>
      </c>
      <c r="AD131" s="292">
        <v>1030</v>
      </c>
      <c r="AE131" s="308">
        <v>0</v>
      </c>
      <c r="AF131" s="308">
        <v>0</v>
      </c>
      <c r="AG131" s="308">
        <v>0</v>
      </c>
      <c r="AH131" s="308">
        <v>0</v>
      </c>
      <c r="AI131" s="308">
        <v>0</v>
      </c>
      <c r="AJ131" s="308">
        <v>0</v>
      </c>
      <c r="AK131" s="308">
        <v>0</v>
      </c>
      <c r="AL131" s="308">
        <v>0</v>
      </c>
      <c r="AM131" s="308">
        <v>0</v>
      </c>
      <c r="AN131" s="308">
        <v>0</v>
      </c>
      <c r="AO131" s="308">
        <v>0</v>
      </c>
      <c r="AP131" s="308">
        <v>0</v>
      </c>
      <c r="AQ131" s="308">
        <v>0</v>
      </c>
      <c r="AR131" s="308">
        <v>0</v>
      </c>
      <c r="AS131" s="308">
        <v>0</v>
      </c>
      <c r="AT131" s="308">
        <v>0</v>
      </c>
      <c r="AU131" s="308">
        <v>0</v>
      </c>
      <c r="AV131" s="308">
        <v>0</v>
      </c>
      <c r="AW131" s="308">
        <v>0</v>
      </c>
      <c r="AX131" s="308">
        <v>0</v>
      </c>
      <c r="AY131" s="308">
        <v>0</v>
      </c>
    </row>
    <row r="132" spans="2:51">
      <c r="C132" s="287">
        <v>351979</v>
      </c>
      <c r="D132" t="s">
        <v>344</v>
      </c>
      <c r="E132" t="s">
        <v>353</v>
      </c>
      <c r="F132">
        <v>319</v>
      </c>
      <c r="G132" t="s">
        <v>618</v>
      </c>
      <c r="H132" s="288">
        <v>89684583915</v>
      </c>
      <c r="I132" t="s">
        <v>619</v>
      </c>
      <c r="J132" t="s">
        <v>620</v>
      </c>
      <c r="K132" s="289">
        <v>10560</v>
      </c>
      <c r="L132" s="290">
        <v>44409</v>
      </c>
      <c r="M132" s="290">
        <v>44774</v>
      </c>
      <c r="N132">
        <v>365</v>
      </c>
      <c r="O132" s="291" t="s">
        <v>334</v>
      </c>
      <c r="P132" t="s">
        <v>349</v>
      </c>
      <c r="Q132" s="292">
        <v>3520</v>
      </c>
      <c r="R132" s="292">
        <v>2640</v>
      </c>
      <c r="S132" s="292">
        <v>880</v>
      </c>
      <c r="T132" s="292">
        <v>880</v>
      </c>
      <c r="U132" s="292">
        <v>880</v>
      </c>
      <c r="V132" s="292">
        <v>880</v>
      </c>
      <c r="W132" s="292">
        <v>976.80000000000007</v>
      </c>
      <c r="X132" s="308">
        <v>976.80000000000007</v>
      </c>
      <c r="Y132" s="308">
        <v>976.80000000000007</v>
      </c>
      <c r="Z132" s="308">
        <v>976.80000000000007</v>
      </c>
      <c r="AA132" s="308">
        <v>976.80000000000007</v>
      </c>
      <c r="AB132" s="308">
        <v>976.80000000000007</v>
      </c>
      <c r="AC132" s="308">
        <v>976.80000000000007</v>
      </c>
      <c r="AD132" s="308">
        <v>976.80000000000007</v>
      </c>
      <c r="AE132" s="308">
        <v>976.80000000000007</v>
      </c>
      <c r="AF132" s="308">
        <v>976.80000000000007</v>
      </c>
      <c r="AG132" s="308">
        <v>976.80000000000007</v>
      </c>
      <c r="AH132" s="308">
        <v>976.80000000000007</v>
      </c>
      <c r="AI132" s="308">
        <v>1084.2480000000003</v>
      </c>
      <c r="AJ132" s="308">
        <v>1084.2480000000003</v>
      </c>
      <c r="AK132" s="308">
        <v>1084.2480000000003</v>
      </c>
      <c r="AL132" s="308">
        <v>1084.2480000000003</v>
      </c>
      <c r="AM132" s="308">
        <v>1084.2480000000003</v>
      </c>
      <c r="AN132" s="308">
        <v>1084.2480000000003</v>
      </c>
      <c r="AO132" s="308">
        <v>1084.2480000000003</v>
      </c>
      <c r="AP132" s="308">
        <v>1084.2480000000003</v>
      </c>
      <c r="AQ132" s="308">
        <v>1084.2480000000003</v>
      </c>
      <c r="AR132" s="308">
        <v>1084.2480000000003</v>
      </c>
      <c r="AS132" s="308">
        <v>1084.2480000000003</v>
      </c>
      <c r="AT132" s="308">
        <v>1084.2480000000003</v>
      </c>
      <c r="AU132" s="308">
        <v>1203.5152800000003</v>
      </c>
      <c r="AV132" s="308">
        <v>1203.5152800000003</v>
      </c>
      <c r="AW132" s="308">
        <v>1203.5152800000003</v>
      </c>
      <c r="AX132" s="308">
        <v>1203.5152800000003</v>
      </c>
      <c r="AY132" s="308">
        <v>1203.5152800000003</v>
      </c>
    </row>
    <row r="133" spans="2:51">
      <c r="C133" s="287" t="s">
        <v>621</v>
      </c>
      <c r="D133" t="s">
        <v>406</v>
      </c>
      <c r="E133" t="s">
        <v>359</v>
      </c>
      <c r="F133">
        <v>319</v>
      </c>
      <c r="G133" t="s">
        <v>622</v>
      </c>
      <c r="H133" s="302">
        <v>62396048953</v>
      </c>
      <c r="I133" t="s">
        <v>623</v>
      </c>
      <c r="J133" t="s">
        <v>624</v>
      </c>
      <c r="K133" s="289">
        <v>33000</v>
      </c>
      <c r="L133" s="290">
        <v>43009</v>
      </c>
      <c r="M133" s="290">
        <v>44834</v>
      </c>
      <c r="N133">
        <v>1825</v>
      </c>
      <c r="O133" s="291" t="s">
        <v>334</v>
      </c>
      <c r="P133" t="s">
        <v>349</v>
      </c>
      <c r="Q133" s="292">
        <v>6600</v>
      </c>
      <c r="R133" s="292">
        <v>1650</v>
      </c>
      <c r="S133" s="292">
        <v>550</v>
      </c>
      <c r="T133" s="292">
        <v>550</v>
      </c>
      <c r="U133" s="292">
        <v>550</v>
      </c>
      <c r="V133" s="292">
        <v>550</v>
      </c>
      <c r="W133" s="292">
        <v>550</v>
      </c>
      <c r="X133" s="292">
        <v>550</v>
      </c>
      <c r="Y133" s="308">
        <v>610.5</v>
      </c>
      <c r="Z133" s="308">
        <v>610.5</v>
      </c>
      <c r="AA133" s="308">
        <v>610.5</v>
      </c>
      <c r="AB133" s="308">
        <v>610.5</v>
      </c>
      <c r="AC133" s="308">
        <v>610.5</v>
      </c>
      <c r="AD133" s="308">
        <v>610.5</v>
      </c>
      <c r="AE133" s="308">
        <v>610.5</v>
      </c>
      <c r="AF133" s="308">
        <v>610.5</v>
      </c>
      <c r="AG133" s="308">
        <v>610.5</v>
      </c>
      <c r="AH133" s="308">
        <v>610.5</v>
      </c>
      <c r="AI133" s="308">
        <v>610.5</v>
      </c>
      <c r="AJ133" s="308">
        <v>610.5</v>
      </c>
      <c r="AK133" s="308">
        <v>677.65500000000009</v>
      </c>
      <c r="AL133" s="308">
        <v>677.65500000000009</v>
      </c>
      <c r="AM133" s="308">
        <v>677.65500000000009</v>
      </c>
      <c r="AN133" s="308">
        <v>677.65500000000009</v>
      </c>
      <c r="AO133" s="308">
        <v>677.65500000000009</v>
      </c>
      <c r="AP133" s="308">
        <v>677.65500000000009</v>
      </c>
      <c r="AQ133" s="308">
        <v>677.65500000000009</v>
      </c>
      <c r="AR133" s="308">
        <v>677.65500000000009</v>
      </c>
      <c r="AS133" s="308">
        <v>677.65500000000009</v>
      </c>
      <c r="AT133" s="308">
        <v>677.65500000000009</v>
      </c>
      <c r="AU133" s="308">
        <v>677.65500000000009</v>
      </c>
      <c r="AV133" s="308">
        <v>677.65500000000009</v>
      </c>
      <c r="AW133" s="308">
        <v>752.19705000000022</v>
      </c>
      <c r="AX133" s="308">
        <v>752.19705000000022</v>
      </c>
      <c r="AY133" s="308">
        <v>752.19705000000022</v>
      </c>
    </row>
    <row r="134" spans="2:51">
      <c r="C134" s="287" t="s">
        <v>625</v>
      </c>
      <c r="D134" t="s">
        <v>406</v>
      </c>
      <c r="E134" t="s">
        <v>359</v>
      </c>
      <c r="F134">
        <v>319</v>
      </c>
      <c r="G134" t="s">
        <v>622</v>
      </c>
      <c r="H134" s="288">
        <v>20146465000162</v>
      </c>
      <c r="I134" t="s">
        <v>626</v>
      </c>
      <c r="J134" t="s">
        <v>627</v>
      </c>
      <c r="K134" s="289">
        <v>2285934</v>
      </c>
      <c r="L134" s="290">
        <v>43009</v>
      </c>
      <c r="M134" s="290">
        <v>44834</v>
      </c>
      <c r="N134">
        <v>1825</v>
      </c>
      <c r="O134" s="291" t="s">
        <v>334</v>
      </c>
      <c r="P134" t="s">
        <v>349</v>
      </c>
      <c r="Q134" s="292">
        <v>563449.37</v>
      </c>
      <c r="R134" s="292">
        <v>169691.77999999997</v>
      </c>
      <c r="S134" s="292">
        <v>51207.77</v>
      </c>
      <c r="T134" s="292">
        <v>51207.77</v>
      </c>
      <c r="U134" s="292">
        <v>51207.77</v>
      </c>
      <c r="V134" s="292">
        <v>51207.77</v>
      </c>
      <c r="W134" s="292">
        <v>51207.77</v>
      </c>
      <c r="X134" s="292">
        <v>51207.77</v>
      </c>
      <c r="Y134" s="308">
        <v>56840.6247</v>
      </c>
      <c r="Z134" s="308">
        <v>56840.6247</v>
      </c>
      <c r="AA134" s="308">
        <v>56840.6247</v>
      </c>
      <c r="AB134" s="308">
        <v>56840.6247</v>
      </c>
      <c r="AC134" s="308">
        <v>56840.6247</v>
      </c>
      <c r="AD134" s="308">
        <v>56840.6247</v>
      </c>
      <c r="AE134" s="308">
        <v>56840.6247</v>
      </c>
      <c r="AF134" s="308">
        <v>56840.6247</v>
      </c>
      <c r="AG134" s="308">
        <v>56840.6247</v>
      </c>
      <c r="AH134" s="308">
        <v>56840.6247</v>
      </c>
      <c r="AI134" s="308">
        <v>56840.6247</v>
      </c>
      <c r="AJ134" s="308">
        <v>56840.6247</v>
      </c>
      <c r="AK134" s="308">
        <v>63093.093417000004</v>
      </c>
      <c r="AL134" s="308">
        <v>63093.093417000004</v>
      </c>
      <c r="AM134" s="308">
        <v>63093.093417000004</v>
      </c>
      <c r="AN134" s="308">
        <v>63093.093417000004</v>
      </c>
      <c r="AO134" s="308">
        <v>63093.093417000004</v>
      </c>
      <c r="AP134" s="308">
        <v>63093.093417000004</v>
      </c>
      <c r="AQ134" s="308">
        <v>63093.093417000004</v>
      </c>
      <c r="AR134" s="308">
        <v>63093.093417000004</v>
      </c>
      <c r="AS134" s="308">
        <v>63093.093417000004</v>
      </c>
      <c r="AT134" s="308">
        <v>63093.093417000004</v>
      </c>
      <c r="AU134" s="308">
        <v>63093.093417000004</v>
      </c>
      <c r="AV134" s="308">
        <v>63093.093417000004</v>
      </c>
      <c r="AW134" s="308">
        <v>70033.333692870016</v>
      </c>
      <c r="AX134" s="308">
        <v>70033.333692870016</v>
      </c>
      <c r="AY134" s="308">
        <v>70033.333692870016</v>
      </c>
    </row>
    <row r="135" spans="2:51">
      <c r="C135" s="287">
        <v>362088</v>
      </c>
      <c r="D135" t="s">
        <v>344</v>
      </c>
      <c r="E135" t="s">
        <v>353</v>
      </c>
      <c r="F135">
        <v>319</v>
      </c>
      <c r="G135" t="s">
        <v>628</v>
      </c>
      <c r="H135" s="305">
        <v>4525130903</v>
      </c>
      <c r="I135" t="s">
        <v>629</v>
      </c>
      <c r="J135" t="s">
        <v>630</v>
      </c>
      <c r="K135" s="289">
        <v>15600</v>
      </c>
      <c r="L135" s="290">
        <v>44652</v>
      </c>
      <c r="M135" s="290">
        <v>45017</v>
      </c>
      <c r="N135">
        <v>365</v>
      </c>
      <c r="O135" s="291" t="s">
        <v>334</v>
      </c>
      <c r="P135" t="s">
        <v>349</v>
      </c>
      <c r="Q135" s="292">
        <v>0</v>
      </c>
      <c r="R135" s="292">
        <v>0</v>
      </c>
      <c r="S135" s="323">
        <v>1120</v>
      </c>
      <c r="T135" s="292">
        <v>1120</v>
      </c>
      <c r="U135" s="292">
        <v>1120</v>
      </c>
      <c r="V135" s="292">
        <v>1120</v>
      </c>
      <c r="W135" s="292">
        <v>1120</v>
      </c>
      <c r="X135" s="292">
        <v>1120</v>
      </c>
      <c r="Y135" s="292">
        <v>1120</v>
      </c>
      <c r="Z135" s="292">
        <v>1120</v>
      </c>
      <c r="AA135" s="292">
        <v>1120</v>
      </c>
      <c r="AB135" s="292">
        <v>1120</v>
      </c>
      <c r="AC135" s="292">
        <v>1120</v>
      </c>
      <c r="AD135" s="292">
        <v>1120</v>
      </c>
      <c r="AE135" s="292">
        <v>1243.2</v>
      </c>
      <c r="AF135" s="308">
        <v>1243.2</v>
      </c>
      <c r="AG135" s="308">
        <v>1243.2</v>
      </c>
      <c r="AH135" s="308">
        <v>1243.2</v>
      </c>
      <c r="AI135" s="308">
        <v>1243.2</v>
      </c>
      <c r="AJ135" s="308">
        <v>1243.2</v>
      </c>
      <c r="AK135" s="308">
        <v>1243.2</v>
      </c>
      <c r="AL135" s="308">
        <v>1243.2</v>
      </c>
      <c r="AM135" s="308">
        <v>1243.2</v>
      </c>
      <c r="AN135" s="308">
        <v>1243.2</v>
      </c>
      <c r="AO135" s="308">
        <v>1243.2</v>
      </c>
      <c r="AP135" s="308">
        <v>1243.2</v>
      </c>
      <c r="AQ135" s="308">
        <v>1379.9520000000002</v>
      </c>
      <c r="AR135" s="308">
        <v>1379.9520000000002</v>
      </c>
      <c r="AS135" s="308">
        <v>1379.9520000000002</v>
      </c>
      <c r="AT135" s="308">
        <v>1379.9520000000002</v>
      </c>
      <c r="AU135" s="308">
        <v>1379.9520000000002</v>
      </c>
      <c r="AV135" s="308">
        <v>1379.9520000000002</v>
      </c>
      <c r="AW135" s="308">
        <v>1379.9520000000002</v>
      </c>
      <c r="AX135" s="308">
        <v>1379.9520000000002</v>
      </c>
      <c r="AY135" s="308">
        <v>1379.9520000000002</v>
      </c>
    </row>
    <row r="136" spans="2:51">
      <c r="C136" s="287" t="s">
        <v>631</v>
      </c>
      <c r="D136" t="s">
        <v>406</v>
      </c>
      <c r="E136" t="s">
        <v>359</v>
      </c>
      <c r="F136">
        <v>319</v>
      </c>
      <c r="G136" t="s">
        <v>632</v>
      </c>
      <c r="H136" s="288">
        <v>16533607987</v>
      </c>
      <c r="I136" t="s">
        <v>633</v>
      </c>
      <c r="J136" t="s">
        <v>634</v>
      </c>
      <c r="K136" s="289">
        <v>730731.93</v>
      </c>
      <c r="L136" s="290">
        <v>43405</v>
      </c>
      <c r="M136" s="290">
        <v>45230</v>
      </c>
      <c r="N136">
        <v>1825</v>
      </c>
      <c r="O136" s="291" t="s">
        <v>334</v>
      </c>
      <c r="P136" t="s">
        <v>349</v>
      </c>
      <c r="Q136" s="292">
        <v>148325.81999999998</v>
      </c>
      <c r="R136" s="292">
        <v>36401.520000000004</v>
      </c>
      <c r="S136" s="292">
        <v>15235.8</v>
      </c>
      <c r="T136" s="292">
        <v>15235.8</v>
      </c>
      <c r="U136" s="292">
        <v>15235.8</v>
      </c>
      <c r="V136" s="292">
        <v>15235.8</v>
      </c>
      <c r="W136" s="292">
        <v>15235.8</v>
      </c>
      <c r="X136" s="292">
        <v>15235.8</v>
      </c>
      <c r="Y136" s="292">
        <v>15235.8</v>
      </c>
      <c r="Z136" s="292">
        <v>16911.738000000001</v>
      </c>
      <c r="AA136" s="292">
        <v>16911.738000000001</v>
      </c>
      <c r="AB136" s="292">
        <v>16911.738000000001</v>
      </c>
      <c r="AC136" s="292">
        <v>16911.738000000001</v>
      </c>
      <c r="AD136" s="292">
        <v>16911.738000000001</v>
      </c>
      <c r="AE136" s="292">
        <v>16911.738000000001</v>
      </c>
      <c r="AF136" s="292">
        <v>16911.738000000001</v>
      </c>
      <c r="AG136" s="292">
        <v>16911.738000000001</v>
      </c>
      <c r="AH136" s="292">
        <v>16911.738000000001</v>
      </c>
      <c r="AI136" s="292">
        <v>16911.738000000001</v>
      </c>
      <c r="AJ136" s="292">
        <v>16911.738000000001</v>
      </c>
      <c r="AK136" s="292">
        <v>16911.738000000001</v>
      </c>
      <c r="AL136" s="308">
        <v>18772.029180000001</v>
      </c>
      <c r="AM136" s="308">
        <v>20836.952389800004</v>
      </c>
      <c r="AN136" s="308">
        <v>23129.017152678007</v>
      </c>
      <c r="AO136" s="308">
        <v>25673.209039472589</v>
      </c>
      <c r="AP136" s="308">
        <v>28497.262033814575</v>
      </c>
      <c r="AQ136" s="308">
        <v>31631.960857534181</v>
      </c>
      <c r="AR136" s="308">
        <v>35111.476551862943</v>
      </c>
      <c r="AS136" s="308">
        <v>38973.738972567873</v>
      </c>
      <c r="AT136" s="308">
        <v>43260.850259550345</v>
      </c>
      <c r="AU136" s="308">
        <v>48019.543788100884</v>
      </c>
      <c r="AV136" s="308">
        <v>53301.693604791988</v>
      </c>
      <c r="AW136" s="308">
        <v>59164.879901319109</v>
      </c>
      <c r="AX136" s="308">
        <v>65673.01669046421</v>
      </c>
      <c r="AY136" s="308">
        <v>65673.01669046421</v>
      </c>
    </row>
    <row r="137" spans="2:51">
      <c r="C137" s="287">
        <v>355784</v>
      </c>
      <c r="D137" t="s">
        <v>344</v>
      </c>
      <c r="E137" t="s">
        <v>359</v>
      </c>
      <c r="F137">
        <v>319</v>
      </c>
      <c r="G137" t="s">
        <v>635</v>
      </c>
      <c r="H137" s="288">
        <v>4653135908</v>
      </c>
      <c r="I137" t="s">
        <v>636</v>
      </c>
      <c r="J137" t="s">
        <v>637</v>
      </c>
      <c r="K137" s="289">
        <v>44020</v>
      </c>
      <c r="L137" s="290">
        <v>44487</v>
      </c>
      <c r="M137" s="290">
        <v>45217</v>
      </c>
      <c r="N137">
        <v>730</v>
      </c>
      <c r="O137" s="291" t="s">
        <v>334</v>
      </c>
      <c r="P137" t="s">
        <v>349</v>
      </c>
      <c r="Q137" s="292">
        <v>3600</v>
      </c>
      <c r="R137" s="292">
        <v>5400</v>
      </c>
      <c r="S137" s="292">
        <v>1800</v>
      </c>
      <c r="T137" s="292">
        <v>1800</v>
      </c>
      <c r="U137" s="292">
        <v>1800</v>
      </c>
      <c r="V137" s="292">
        <v>1800</v>
      </c>
      <c r="W137" s="292">
        <v>1800</v>
      </c>
      <c r="X137" s="292">
        <v>1800</v>
      </c>
      <c r="Y137" s="292">
        <v>1800</v>
      </c>
      <c r="Z137" s="292">
        <v>1998.0000000000002</v>
      </c>
      <c r="AA137" s="292">
        <v>1998.0000000000002</v>
      </c>
      <c r="AB137" s="292">
        <v>1998.0000000000002</v>
      </c>
      <c r="AC137" s="292">
        <v>1998.0000000000002</v>
      </c>
      <c r="AD137" s="292">
        <v>1998.0000000000002</v>
      </c>
      <c r="AE137" s="292">
        <v>1998.0000000000002</v>
      </c>
      <c r="AF137" s="292">
        <v>1998.0000000000002</v>
      </c>
      <c r="AG137" s="292">
        <v>1998.0000000000002</v>
      </c>
      <c r="AH137" s="292">
        <v>1998.0000000000002</v>
      </c>
      <c r="AI137" s="292">
        <v>1998.0000000000002</v>
      </c>
      <c r="AJ137" s="292">
        <v>1998.0000000000002</v>
      </c>
      <c r="AK137" s="292">
        <v>1998.0000000000002</v>
      </c>
      <c r="AL137" s="308">
        <v>2217.7800000000007</v>
      </c>
      <c r="AM137" s="308">
        <v>2217.7800000000007</v>
      </c>
      <c r="AN137" s="308">
        <v>2217.7800000000007</v>
      </c>
      <c r="AO137" s="308">
        <v>2217.7800000000007</v>
      </c>
      <c r="AP137" s="308">
        <v>2217.7800000000007</v>
      </c>
      <c r="AQ137" s="308">
        <v>2217.7800000000007</v>
      </c>
      <c r="AR137" s="308">
        <v>2217.7800000000007</v>
      </c>
      <c r="AS137" s="308">
        <v>2217.7800000000007</v>
      </c>
      <c r="AT137" s="308">
        <v>2217.7800000000007</v>
      </c>
      <c r="AU137" s="308">
        <v>2217.7800000000007</v>
      </c>
      <c r="AV137" s="308">
        <v>2217.7800000000007</v>
      </c>
      <c r="AW137" s="308">
        <v>2217.7800000000007</v>
      </c>
      <c r="AX137" s="308">
        <v>2461.7358000000008</v>
      </c>
      <c r="AY137" s="308">
        <v>2461.7358000000008</v>
      </c>
    </row>
    <row r="138" spans="2:51">
      <c r="C138" s="287">
        <v>353430</v>
      </c>
      <c r="D138" t="s">
        <v>344</v>
      </c>
      <c r="E138" t="s">
        <v>353</v>
      </c>
      <c r="F138">
        <v>319</v>
      </c>
      <c r="G138" t="s">
        <v>638</v>
      </c>
      <c r="H138" s="288">
        <v>17800340910</v>
      </c>
      <c r="I138" t="s">
        <v>639</v>
      </c>
      <c r="J138" t="s">
        <v>640</v>
      </c>
      <c r="K138" s="289">
        <v>19276.64</v>
      </c>
      <c r="L138" s="290">
        <v>44426</v>
      </c>
      <c r="M138" s="290">
        <v>44790</v>
      </c>
      <c r="N138">
        <v>364</v>
      </c>
      <c r="O138" s="291" t="s">
        <v>334</v>
      </c>
      <c r="P138" t="s">
        <v>349</v>
      </c>
      <c r="Q138" s="292">
        <v>6258.880000000001</v>
      </c>
      <c r="R138" s="292">
        <v>4694.16</v>
      </c>
      <c r="S138" s="292">
        <v>1327.72</v>
      </c>
      <c r="T138" s="292">
        <v>1327.72</v>
      </c>
      <c r="U138" s="292">
        <v>1327.72</v>
      </c>
      <c r="V138" s="292">
        <v>1327.72</v>
      </c>
      <c r="W138" s="292">
        <v>1327.72</v>
      </c>
      <c r="X138" s="308">
        <v>1473.7692000000002</v>
      </c>
      <c r="Y138" s="308">
        <v>1473.7692000000002</v>
      </c>
      <c r="Z138" s="308">
        <v>1473.7692000000002</v>
      </c>
      <c r="AA138" s="308">
        <v>1473.7692000000002</v>
      </c>
      <c r="AB138" s="308">
        <v>1473.7692000000002</v>
      </c>
      <c r="AC138" s="308">
        <v>1473.7692000000002</v>
      </c>
      <c r="AD138" s="308">
        <v>1473.7692000000002</v>
      </c>
      <c r="AE138" s="308">
        <v>1473.7692000000002</v>
      </c>
      <c r="AF138" s="308">
        <v>1473.7692000000002</v>
      </c>
      <c r="AG138" s="308">
        <v>1473.7692000000002</v>
      </c>
      <c r="AH138" s="308">
        <v>1473.7692000000002</v>
      </c>
      <c r="AI138" s="308">
        <v>1473.7692000000002</v>
      </c>
      <c r="AJ138" s="308">
        <v>1635.8838120000003</v>
      </c>
      <c r="AK138" s="308">
        <v>1635.8838120000003</v>
      </c>
      <c r="AL138" s="308">
        <v>1635.8838120000003</v>
      </c>
      <c r="AM138" s="308">
        <v>1635.8838120000003</v>
      </c>
      <c r="AN138" s="308">
        <v>1635.8838120000003</v>
      </c>
      <c r="AO138" s="308">
        <v>1635.8838120000003</v>
      </c>
      <c r="AP138" s="308">
        <v>1635.8838120000003</v>
      </c>
      <c r="AQ138" s="308">
        <v>1635.8838120000003</v>
      </c>
      <c r="AR138" s="308">
        <v>1635.8838120000003</v>
      </c>
      <c r="AS138" s="308">
        <v>1635.8838120000003</v>
      </c>
      <c r="AT138" s="308">
        <v>1635.8838120000003</v>
      </c>
      <c r="AU138" s="308">
        <v>1635.8838120000003</v>
      </c>
      <c r="AV138" s="308">
        <v>1815.8310313200004</v>
      </c>
      <c r="AW138" s="308">
        <v>1815.8310313200004</v>
      </c>
      <c r="AX138" s="308">
        <v>1815.8310313200004</v>
      </c>
      <c r="AY138" s="308">
        <v>1815.8310313200004</v>
      </c>
    </row>
    <row r="139" spans="2:51">
      <c r="C139" s="287">
        <v>354621</v>
      </c>
      <c r="D139" t="s">
        <v>344</v>
      </c>
      <c r="E139" t="s">
        <v>345</v>
      </c>
      <c r="F139">
        <v>319</v>
      </c>
      <c r="G139" t="s">
        <v>641</v>
      </c>
      <c r="H139" s="288">
        <v>18024670925</v>
      </c>
      <c r="I139" t="s">
        <v>642</v>
      </c>
      <c r="J139" t="s">
        <v>643</v>
      </c>
      <c r="K139" s="289">
        <v>72500</v>
      </c>
      <c r="L139" s="290">
        <v>44409</v>
      </c>
      <c r="M139" s="290">
        <v>44773</v>
      </c>
      <c r="N139">
        <v>364</v>
      </c>
      <c r="O139" s="291" t="s">
        <v>334</v>
      </c>
      <c r="P139" t="s">
        <v>349</v>
      </c>
      <c r="Q139" s="292">
        <v>22000</v>
      </c>
      <c r="R139" s="292">
        <v>16500</v>
      </c>
      <c r="S139" s="292">
        <v>5500</v>
      </c>
      <c r="T139" s="292">
        <v>5500</v>
      </c>
      <c r="U139" s="292">
        <v>5500</v>
      </c>
      <c r="V139" s="292">
        <v>5500</v>
      </c>
      <c r="W139" s="308">
        <v>5500</v>
      </c>
      <c r="X139" s="308">
        <v>6105.0000000000009</v>
      </c>
      <c r="Y139" s="308">
        <v>6105.0000000000009</v>
      </c>
      <c r="Z139" s="308">
        <v>6105.0000000000009</v>
      </c>
      <c r="AA139" s="308">
        <v>6105.0000000000009</v>
      </c>
      <c r="AB139" s="308">
        <v>6105.0000000000009</v>
      </c>
      <c r="AC139" s="308">
        <v>6105.0000000000009</v>
      </c>
      <c r="AD139" s="308">
        <v>6105.0000000000009</v>
      </c>
      <c r="AE139" s="308">
        <v>6105.0000000000009</v>
      </c>
      <c r="AF139" s="308">
        <v>6105.0000000000009</v>
      </c>
      <c r="AG139" s="308">
        <v>6105.0000000000009</v>
      </c>
      <c r="AH139" s="308">
        <v>6105.0000000000009</v>
      </c>
      <c r="AI139" s="308">
        <v>6105.0000000000009</v>
      </c>
      <c r="AJ139" s="308">
        <v>6776.550000000002</v>
      </c>
      <c r="AK139" s="308">
        <v>6776.550000000002</v>
      </c>
      <c r="AL139" s="308">
        <v>6776.550000000002</v>
      </c>
      <c r="AM139" s="308">
        <v>6776.550000000002</v>
      </c>
      <c r="AN139" s="308">
        <v>6776.550000000002</v>
      </c>
      <c r="AO139" s="308">
        <v>6776.550000000002</v>
      </c>
      <c r="AP139" s="308">
        <v>6776.550000000002</v>
      </c>
      <c r="AQ139" s="308">
        <v>6776.550000000002</v>
      </c>
      <c r="AR139" s="308">
        <v>6776.550000000002</v>
      </c>
      <c r="AS139" s="308">
        <v>6776.550000000002</v>
      </c>
      <c r="AT139" s="308">
        <v>6776.550000000002</v>
      </c>
      <c r="AU139" s="308">
        <v>6776.550000000002</v>
      </c>
      <c r="AV139" s="308">
        <v>7521.9705000000031</v>
      </c>
      <c r="AW139" s="308">
        <v>7521.9705000000031</v>
      </c>
      <c r="AX139" s="308">
        <v>7521.9705000000031</v>
      </c>
      <c r="AY139" s="308">
        <v>7521.9705000000031</v>
      </c>
    </row>
    <row r="140" spans="2:51">
      <c r="C140" s="287">
        <v>348550</v>
      </c>
      <c r="D140" t="s">
        <v>344</v>
      </c>
      <c r="E140" t="s">
        <v>359</v>
      </c>
      <c r="F140">
        <v>312</v>
      </c>
      <c r="G140" t="s">
        <v>644</v>
      </c>
      <c r="H140" s="288">
        <v>7449612000105</v>
      </c>
      <c r="I140" t="s">
        <v>645</v>
      </c>
      <c r="J140" t="s">
        <v>646</v>
      </c>
      <c r="K140" s="289">
        <v>12000</v>
      </c>
      <c r="L140" s="290">
        <v>44330</v>
      </c>
      <c r="M140" s="290">
        <v>45060</v>
      </c>
      <c r="N140">
        <v>730</v>
      </c>
      <c r="O140" s="291" t="s">
        <v>334</v>
      </c>
      <c r="P140" t="s">
        <v>349</v>
      </c>
      <c r="Q140" s="292">
        <v>0</v>
      </c>
      <c r="R140" s="292">
        <v>2000</v>
      </c>
      <c r="S140" s="292">
        <v>1000</v>
      </c>
      <c r="T140" s="292">
        <v>1000</v>
      </c>
      <c r="U140" s="292">
        <v>1000</v>
      </c>
      <c r="V140" s="292">
        <v>1000</v>
      </c>
      <c r="W140" s="292">
        <v>1000</v>
      </c>
      <c r="X140" s="292">
        <v>1000</v>
      </c>
      <c r="Y140" s="292">
        <v>1000</v>
      </c>
      <c r="Z140" s="292">
        <v>1000</v>
      </c>
      <c r="AA140" s="292">
        <v>1000</v>
      </c>
      <c r="AB140" s="292">
        <v>1000</v>
      </c>
      <c r="AC140" s="292">
        <v>1000</v>
      </c>
      <c r="AD140" s="292">
        <v>1000</v>
      </c>
      <c r="AE140" s="292">
        <v>0</v>
      </c>
      <c r="AF140" s="292">
        <v>0</v>
      </c>
      <c r="AG140" s="308">
        <v>0</v>
      </c>
      <c r="AH140" s="308">
        <v>0</v>
      </c>
      <c r="AI140" s="308">
        <v>0</v>
      </c>
      <c r="AJ140" s="308">
        <v>0</v>
      </c>
      <c r="AK140" s="308">
        <v>0</v>
      </c>
      <c r="AL140" s="308">
        <v>0</v>
      </c>
      <c r="AM140" s="308">
        <v>0</v>
      </c>
      <c r="AN140" s="308">
        <v>0</v>
      </c>
      <c r="AO140" s="308">
        <v>0</v>
      </c>
      <c r="AP140" s="308">
        <v>0</v>
      </c>
      <c r="AQ140" s="308">
        <v>0</v>
      </c>
      <c r="AR140" s="308">
        <v>0</v>
      </c>
      <c r="AS140" s="308">
        <v>0</v>
      </c>
      <c r="AT140" s="308">
        <v>0</v>
      </c>
      <c r="AU140" s="308">
        <v>0</v>
      </c>
      <c r="AV140" s="308">
        <v>0</v>
      </c>
      <c r="AW140" s="308">
        <v>0</v>
      </c>
      <c r="AX140" s="308">
        <v>0</v>
      </c>
      <c r="AY140" s="308">
        <v>0</v>
      </c>
    </row>
    <row r="141" spans="2:51">
      <c r="B141" t="s">
        <v>647</v>
      </c>
      <c r="C141" s="287">
        <v>355693</v>
      </c>
      <c r="D141" t="s">
        <v>344</v>
      </c>
      <c r="E141" t="s">
        <v>359</v>
      </c>
      <c r="F141">
        <v>312</v>
      </c>
      <c r="G141" t="s">
        <v>469</v>
      </c>
      <c r="H141" s="288">
        <v>7203347000180</v>
      </c>
      <c r="I141" t="s">
        <v>648</v>
      </c>
      <c r="J141" t="s">
        <v>649</v>
      </c>
      <c r="K141" s="289">
        <v>95600</v>
      </c>
      <c r="L141" s="290">
        <v>44504</v>
      </c>
      <c r="M141" s="290">
        <v>45234</v>
      </c>
      <c r="N141">
        <v>730</v>
      </c>
      <c r="O141" s="291" t="s">
        <v>334</v>
      </c>
      <c r="P141" t="s">
        <v>650</v>
      </c>
      <c r="Q141" s="292">
        <v>0</v>
      </c>
      <c r="R141" s="292">
        <v>4450</v>
      </c>
      <c r="S141" s="292">
        <v>3983.33</v>
      </c>
      <c r="T141" s="292">
        <v>3983.33</v>
      </c>
      <c r="U141" s="292">
        <v>3983.33</v>
      </c>
      <c r="V141" s="292">
        <v>3983.33</v>
      </c>
      <c r="W141" s="292">
        <v>3983.33</v>
      </c>
      <c r="X141" s="292">
        <v>3983.33</v>
      </c>
      <c r="Y141" s="292">
        <v>3983.33</v>
      </c>
      <c r="Z141" s="292">
        <v>3983.33</v>
      </c>
      <c r="AA141" s="292">
        <v>3983.33</v>
      </c>
      <c r="AB141" s="292">
        <v>3983.33</v>
      </c>
      <c r="AC141" s="292">
        <v>3983.33</v>
      </c>
      <c r="AD141" s="292">
        <v>3983.33</v>
      </c>
      <c r="AE141" s="292">
        <v>3983.33</v>
      </c>
      <c r="AF141" s="292">
        <v>3983.33</v>
      </c>
      <c r="AG141" s="292">
        <v>3983.33</v>
      </c>
      <c r="AH141" s="292">
        <v>3983.33</v>
      </c>
      <c r="AI141" s="292">
        <v>3983.33</v>
      </c>
      <c r="AJ141" s="292">
        <v>3983.33</v>
      </c>
      <c r="AK141" s="292">
        <v>3983.33</v>
      </c>
      <c r="AL141" s="292">
        <v>3983.33</v>
      </c>
      <c r="AM141" s="328">
        <v>4779.9960000000001</v>
      </c>
      <c r="AN141" s="328">
        <v>4779.9960000000001</v>
      </c>
      <c r="AO141" s="328">
        <v>4779.9960000000001</v>
      </c>
      <c r="AP141" s="328">
        <v>4779.9960000000001</v>
      </c>
      <c r="AQ141" s="328">
        <v>4779.9960000000001</v>
      </c>
      <c r="AR141" s="328">
        <v>4779.9960000000001</v>
      </c>
      <c r="AS141" s="328">
        <v>4779.9960000000001</v>
      </c>
      <c r="AT141" s="328">
        <v>4779.9960000000001</v>
      </c>
      <c r="AU141" s="328">
        <v>4779.9960000000001</v>
      </c>
      <c r="AV141" s="328">
        <v>4779.9960000000001</v>
      </c>
      <c r="AW141" s="328">
        <v>4779.9960000000001</v>
      </c>
      <c r="AX141" s="328">
        <v>4779.9960000000001</v>
      </c>
      <c r="AY141" s="328">
        <v>4779.9960000000001</v>
      </c>
    </row>
    <row r="142" spans="2:51">
      <c r="C142" s="287">
        <v>333603</v>
      </c>
      <c r="D142" t="s">
        <v>344</v>
      </c>
      <c r="E142" t="s">
        <v>345</v>
      </c>
      <c r="F142">
        <v>312</v>
      </c>
      <c r="G142" t="s">
        <v>311</v>
      </c>
      <c r="H142" s="288">
        <v>14928256000178</v>
      </c>
      <c r="I142" t="s">
        <v>651</v>
      </c>
      <c r="J142" t="s">
        <v>652</v>
      </c>
      <c r="K142" s="289">
        <v>2224514.4700000002</v>
      </c>
      <c r="L142" s="290">
        <v>43923</v>
      </c>
      <c r="M142" s="290">
        <v>44652</v>
      </c>
      <c r="N142">
        <v>729</v>
      </c>
      <c r="O142" s="291" t="s">
        <v>334</v>
      </c>
      <c r="P142" t="s">
        <v>653</v>
      </c>
      <c r="Q142" s="292">
        <v>875731.37</v>
      </c>
      <c r="R142" s="292">
        <v>340561.01</v>
      </c>
      <c r="S142" s="373">
        <v>92688.1</v>
      </c>
      <c r="T142" s="372">
        <v>96448.95</v>
      </c>
      <c r="U142" s="372">
        <v>96882.54</v>
      </c>
      <c r="V142" s="372">
        <v>96458.05</v>
      </c>
      <c r="W142" s="372">
        <v>96448.63</v>
      </c>
      <c r="X142" s="372">
        <v>96588.23</v>
      </c>
      <c r="Y142" s="372">
        <v>96585.67</v>
      </c>
      <c r="Z142" s="372">
        <v>96590.95</v>
      </c>
      <c r="AA142" s="372">
        <v>96610.22</v>
      </c>
      <c r="AB142" s="372">
        <f>1192606.66/12</f>
        <v>99383.888333333321</v>
      </c>
      <c r="AC142" s="372">
        <f t="shared" ref="AC142:AM142" si="0">1192606.66/12</f>
        <v>99383.888333333321</v>
      </c>
      <c r="AD142" s="372">
        <f t="shared" si="0"/>
        <v>99383.888333333321</v>
      </c>
      <c r="AE142" s="372">
        <f t="shared" si="0"/>
        <v>99383.888333333321</v>
      </c>
      <c r="AF142" s="372">
        <f t="shared" si="0"/>
        <v>99383.888333333321</v>
      </c>
      <c r="AG142" s="372">
        <f t="shared" si="0"/>
        <v>99383.888333333321</v>
      </c>
      <c r="AH142" s="372">
        <f t="shared" si="0"/>
        <v>99383.888333333321</v>
      </c>
      <c r="AI142" s="372">
        <f t="shared" si="0"/>
        <v>99383.888333333321</v>
      </c>
      <c r="AJ142" s="372">
        <f t="shared" si="0"/>
        <v>99383.888333333321</v>
      </c>
      <c r="AK142" s="372">
        <f>1192606.66/12</f>
        <v>99383.888333333321</v>
      </c>
      <c r="AL142" s="372">
        <f t="shared" si="0"/>
        <v>99383.888333333321</v>
      </c>
      <c r="AM142" s="372">
        <f t="shared" si="0"/>
        <v>99383.888333333321</v>
      </c>
      <c r="AN142" s="372">
        <f>1228384.86/12</f>
        <v>102365.40500000001</v>
      </c>
      <c r="AO142" s="372">
        <f t="shared" ref="AO142:AY142" si="1">1228384.86/12</f>
        <v>102365.40500000001</v>
      </c>
      <c r="AP142" s="372">
        <f t="shared" si="1"/>
        <v>102365.40500000001</v>
      </c>
      <c r="AQ142" s="372">
        <f t="shared" si="1"/>
        <v>102365.40500000001</v>
      </c>
      <c r="AR142" s="372">
        <f t="shared" si="1"/>
        <v>102365.40500000001</v>
      </c>
      <c r="AS142" s="372">
        <f t="shared" si="1"/>
        <v>102365.40500000001</v>
      </c>
      <c r="AT142" s="372">
        <f t="shared" si="1"/>
        <v>102365.40500000001</v>
      </c>
      <c r="AU142" s="372">
        <f t="shared" si="1"/>
        <v>102365.40500000001</v>
      </c>
      <c r="AV142" s="372">
        <f t="shared" si="1"/>
        <v>102365.40500000001</v>
      </c>
      <c r="AW142" s="372">
        <f t="shared" si="1"/>
        <v>102365.40500000001</v>
      </c>
      <c r="AX142" s="372">
        <f t="shared" si="1"/>
        <v>102365.40500000001</v>
      </c>
      <c r="AY142" s="372">
        <f t="shared" si="1"/>
        <v>102365.40500000001</v>
      </c>
    </row>
    <row r="143" spans="2:51">
      <c r="C143" s="287">
        <v>347407</v>
      </c>
      <c r="D143" t="s">
        <v>344</v>
      </c>
      <c r="E143" t="s">
        <v>384</v>
      </c>
      <c r="F143">
        <v>312</v>
      </c>
      <c r="G143" t="s">
        <v>311</v>
      </c>
      <c r="H143" s="288">
        <v>14928256000178</v>
      </c>
      <c r="I143" t="s">
        <v>651</v>
      </c>
      <c r="J143" t="s">
        <v>652</v>
      </c>
      <c r="K143" s="289">
        <v>60139.97</v>
      </c>
      <c r="L143" s="290">
        <v>44205</v>
      </c>
      <c r="M143" s="290">
        <v>44652</v>
      </c>
      <c r="N143">
        <v>447</v>
      </c>
      <c r="O143" s="291" t="s">
        <v>334</v>
      </c>
      <c r="P143" t="s">
        <v>653</v>
      </c>
      <c r="Q143" s="292">
        <v>31820.809999999998</v>
      </c>
      <c r="R143" s="292">
        <v>13484</v>
      </c>
      <c r="S143" s="373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  <c r="AR143" s="372"/>
      <c r="AS143" s="372"/>
      <c r="AT143" s="372"/>
      <c r="AU143" s="372"/>
      <c r="AV143" s="372"/>
      <c r="AW143" s="372"/>
      <c r="AX143" s="372"/>
      <c r="AY143" s="372"/>
    </row>
    <row r="144" spans="2:51">
      <c r="Q144" s="329">
        <f>SUM(Q3:Q143)</f>
        <v>25482952.220000006</v>
      </c>
      <c r="R144" s="329">
        <f>SUM(R3:R143)</f>
        <v>10349380.390000001</v>
      </c>
    </row>
    <row r="145" spans="9:10">
      <c r="I145" s="300"/>
      <c r="J145" t="s">
        <v>654</v>
      </c>
    </row>
  </sheetData>
  <autoFilter ref="B2:AZ145"/>
  <mergeCells count="33">
    <mergeCell ref="AW142:AW143"/>
    <mergeCell ref="AX142:AX143"/>
    <mergeCell ref="AY142:AY143"/>
    <mergeCell ref="AQ142:AQ143"/>
    <mergeCell ref="AR142:AR143"/>
    <mergeCell ref="AS142:AS143"/>
    <mergeCell ref="AT142:AT143"/>
    <mergeCell ref="AU142:AU143"/>
    <mergeCell ref="AV142:AV143"/>
    <mergeCell ref="AP142:AP143"/>
    <mergeCell ref="AE142:AE143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AO142:AO143"/>
    <mergeCell ref="AD142:AD143"/>
    <mergeCell ref="S142:S143"/>
    <mergeCell ref="T142:T143"/>
    <mergeCell ref="U142:U143"/>
    <mergeCell ref="V142:V143"/>
    <mergeCell ref="W142:W143"/>
    <mergeCell ref="X142:X143"/>
    <mergeCell ref="Y142:Y143"/>
    <mergeCell ref="Z142:Z143"/>
    <mergeCell ref="AA142:AA143"/>
    <mergeCell ref="AB142:AB143"/>
    <mergeCell ref="AC142:AC1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8"/>
  <sheetViews>
    <sheetView showGridLines="0" workbookViewId="0"/>
  </sheetViews>
  <sheetFormatPr defaultRowHeight="15"/>
  <cols>
    <col min="1" max="1" width="3.28515625" customWidth="1"/>
    <col min="2" max="2" width="14.7109375" bestFit="1" customWidth="1"/>
    <col min="3" max="3" width="7.42578125" bestFit="1" customWidth="1"/>
    <col min="4" max="4" width="10.7109375" style="343" bestFit="1" customWidth="1"/>
    <col min="5" max="5" width="13.5703125" style="329" bestFit="1" customWidth="1"/>
    <col min="6" max="6" width="11.5703125" style="329" bestFit="1" customWidth="1"/>
    <col min="7" max="7" width="15.28515625" style="329" bestFit="1" customWidth="1"/>
    <col min="8" max="8" width="9.140625" style="354" bestFit="1" customWidth="1"/>
    <col min="10" max="10" width="8.85546875" style="291"/>
    <col min="11" max="13" width="14" style="291" bestFit="1" customWidth="1"/>
  </cols>
  <sheetData>
    <row r="1" spans="2:13">
      <c r="B1" s="342" t="s">
        <v>663</v>
      </c>
    </row>
    <row r="2" spans="2:13">
      <c r="B2" s="344" t="s">
        <v>664</v>
      </c>
      <c r="C2" s="344" t="s">
        <v>665</v>
      </c>
      <c r="D2" s="345" t="s">
        <v>666</v>
      </c>
      <c r="E2" s="346" t="s">
        <v>667</v>
      </c>
      <c r="F2" s="346" t="s">
        <v>668</v>
      </c>
      <c r="G2" s="346" t="s">
        <v>7</v>
      </c>
      <c r="H2" s="355" t="s">
        <v>290</v>
      </c>
      <c r="J2" s="278" t="s">
        <v>290</v>
      </c>
      <c r="K2" s="278" t="s">
        <v>722</v>
      </c>
      <c r="L2" s="278" t="s">
        <v>720</v>
      </c>
      <c r="M2" s="278" t="s">
        <v>723</v>
      </c>
    </row>
    <row r="3" spans="2:13">
      <c r="B3" s="347" t="s">
        <v>669</v>
      </c>
      <c r="C3" s="347">
        <v>1</v>
      </c>
      <c r="D3" s="348" t="s">
        <v>670</v>
      </c>
      <c r="E3" s="349">
        <v>58607.78</v>
      </c>
      <c r="F3" s="349">
        <v>519477.9</v>
      </c>
      <c r="G3" s="349">
        <v>578085.68000000005</v>
      </c>
      <c r="H3" s="354">
        <v>2017</v>
      </c>
      <c r="J3" s="350">
        <v>2017</v>
      </c>
      <c r="K3" s="351">
        <f>SUMIFS($E:$E,$H:$H,J3)+SUMIFS($F:$F,$H:$H,J3)</f>
        <v>9551496.0000000019</v>
      </c>
      <c r="L3" s="365">
        <v>1.1359878999999999</v>
      </c>
      <c r="M3" s="351">
        <f>L3*K3</f>
        <v>10850383.882898401</v>
      </c>
    </row>
    <row r="4" spans="2:13">
      <c r="B4" s="347" t="s">
        <v>669</v>
      </c>
      <c r="C4" s="347">
        <v>2</v>
      </c>
      <c r="D4" s="348" t="s">
        <v>671</v>
      </c>
      <c r="E4" s="349">
        <v>59169.39</v>
      </c>
      <c r="F4" s="349">
        <v>518916.29</v>
      </c>
      <c r="G4" s="349">
        <v>578085.68000000005</v>
      </c>
      <c r="H4" s="354">
        <v>2017</v>
      </c>
      <c r="J4" s="350">
        <v>2018</v>
      </c>
      <c r="K4" s="351">
        <f>SUMIFS($E:$E,$H:$H,J4)+SUMIFS($F:$F,$H:$H,J4)</f>
        <v>27815259.170000002</v>
      </c>
      <c r="L4" s="365">
        <v>1.0918143</v>
      </c>
      <c r="M4" s="351">
        <f>L4*K4</f>
        <v>30369097.720012132</v>
      </c>
    </row>
    <row r="5" spans="2:13">
      <c r="B5" s="347" t="s">
        <v>669</v>
      </c>
      <c r="C5" s="347">
        <v>3</v>
      </c>
      <c r="D5" s="348" t="s">
        <v>672</v>
      </c>
      <c r="E5" s="349">
        <v>59736.38</v>
      </c>
      <c r="F5" s="349">
        <v>518349.3</v>
      </c>
      <c r="G5" s="349">
        <v>578085.68000000005</v>
      </c>
      <c r="H5" s="354">
        <v>2017</v>
      </c>
      <c r="J5" s="350">
        <v>2019</v>
      </c>
      <c r="K5" s="351">
        <f>SUMIFS($E:$E,$H:$H,J5)+SUMIFS($F:$F,$H:$H,J5)</f>
        <v>34883502.719999999</v>
      </c>
      <c r="L5" s="365">
        <v>1.0571929</v>
      </c>
      <c r="M5" s="351">
        <f>L5*K5</f>
        <v>36878591.402714685</v>
      </c>
    </row>
    <row r="6" spans="2:13">
      <c r="B6" s="347" t="s">
        <v>669</v>
      </c>
      <c r="C6" s="347">
        <v>4</v>
      </c>
      <c r="D6" s="348" t="s">
        <v>673</v>
      </c>
      <c r="E6" s="349">
        <v>60308.81</v>
      </c>
      <c r="F6" s="349">
        <v>517776.87</v>
      </c>
      <c r="G6" s="349">
        <v>578085.68000000005</v>
      </c>
      <c r="H6" s="354">
        <v>2017</v>
      </c>
      <c r="J6" s="350">
        <v>2020</v>
      </c>
      <c r="K6" s="351">
        <f>SUMIFS($E:$E,$H:$H,J6)+SUMIFS($F:$F,$H:$H,J6)</f>
        <v>36079159.399999999</v>
      </c>
      <c r="L6" s="365">
        <v>1</v>
      </c>
      <c r="M6" s="351">
        <f>L6*K6</f>
        <v>36079159.399999999</v>
      </c>
    </row>
    <row r="7" spans="2:13">
      <c r="B7" s="347" t="s">
        <v>669</v>
      </c>
      <c r="C7" s="347">
        <v>5</v>
      </c>
      <c r="D7" s="348" t="s">
        <v>674</v>
      </c>
      <c r="E7" s="349">
        <v>60886.720000000001</v>
      </c>
      <c r="F7" s="349">
        <v>517198.96</v>
      </c>
      <c r="G7" s="349">
        <v>578085.68000000005</v>
      </c>
      <c r="H7" s="354">
        <v>2017</v>
      </c>
    </row>
    <row r="8" spans="2:13">
      <c r="B8" s="347" t="s">
        <v>669</v>
      </c>
      <c r="C8" s="347">
        <v>6</v>
      </c>
      <c r="D8" s="348" t="s">
        <v>675</v>
      </c>
      <c r="E8" s="349">
        <v>61470.16</v>
      </c>
      <c r="F8" s="349">
        <v>516615.52</v>
      </c>
      <c r="G8" s="349">
        <v>578085.68000000005</v>
      </c>
      <c r="H8" s="354">
        <v>2017</v>
      </c>
    </row>
    <row r="9" spans="2:13">
      <c r="B9" s="347" t="s">
        <v>669</v>
      </c>
      <c r="C9" s="347">
        <v>7</v>
      </c>
      <c r="D9" s="348" t="s">
        <v>676</v>
      </c>
      <c r="E9" s="349">
        <v>62059.199999999997</v>
      </c>
      <c r="F9" s="349">
        <v>516026.48</v>
      </c>
      <c r="G9" s="349">
        <v>578085.68000000005</v>
      </c>
      <c r="H9" s="354">
        <v>2017</v>
      </c>
    </row>
    <row r="10" spans="2:13">
      <c r="B10" s="347" t="s">
        <v>669</v>
      </c>
      <c r="C10" s="347">
        <v>8</v>
      </c>
      <c r="D10" s="348" t="s">
        <v>677</v>
      </c>
      <c r="E10" s="349">
        <v>63968.23</v>
      </c>
      <c r="F10" s="349">
        <v>526244.47</v>
      </c>
      <c r="G10" s="349">
        <v>590212.69999999995</v>
      </c>
      <c r="H10" s="354">
        <v>2017</v>
      </c>
    </row>
    <row r="11" spans="2:13">
      <c r="B11" s="347" t="s">
        <v>678</v>
      </c>
      <c r="C11" s="347">
        <v>1</v>
      </c>
      <c r="D11" s="348" t="s">
        <v>677</v>
      </c>
      <c r="E11" s="349">
        <v>82128.06</v>
      </c>
      <c r="F11" s="349">
        <v>703883.3</v>
      </c>
      <c r="G11" s="349">
        <v>786011.36</v>
      </c>
      <c r="H11" s="354">
        <v>2017</v>
      </c>
    </row>
    <row r="12" spans="2:13">
      <c r="B12" s="347" t="s">
        <v>669</v>
      </c>
      <c r="C12" s="347">
        <v>9</v>
      </c>
      <c r="D12" s="348" t="s">
        <v>679</v>
      </c>
      <c r="E12" s="349">
        <v>64581.21</v>
      </c>
      <c r="F12" s="349">
        <v>525631.49</v>
      </c>
      <c r="G12" s="349">
        <v>590212.69999999995</v>
      </c>
      <c r="H12" s="354">
        <v>2017</v>
      </c>
    </row>
    <row r="13" spans="2:13">
      <c r="B13" s="347" t="s">
        <v>678</v>
      </c>
      <c r="C13" s="347">
        <v>2</v>
      </c>
      <c r="D13" s="348" t="s">
        <v>679</v>
      </c>
      <c r="E13" s="349">
        <v>82945.710000000006</v>
      </c>
      <c r="F13" s="349">
        <v>703065.65</v>
      </c>
      <c r="G13" s="349">
        <v>786011.36</v>
      </c>
      <c r="H13" s="354">
        <v>2017</v>
      </c>
    </row>
    <row r="14" spans="2:13">
      <c r="B14" s="347" t="s">
        <v>669</v>
      </c>
      <c r="C14" s="347">
        <v>11</v>
      </c>
      <c r="D14" s="348" t="s">
        <v>680</v>
      </c>
      <c r="E14" s="349">
        <v>65200.06</v>
      </c>
      <c r="F14" s="349">
        <v>525012.64</v>
      </c>
      <c r="G14" s="349">
        <v>590212.69999999995</v>
      </c>
      <c r="H14" s="354">
        <v>2017</v>
      </c>
    </row>
    <row r="15" spans="2:13">
      <c r="B15" s="347" t="s">
        <v>678</v>
      </c>
      <c r="C15" s="347">
        <v>3</v>
      </c>
      <c r="D15" s="348" t="s">
        <v>680</v>
      </c>
      <c r="E15" s="349">
        <v>83771.5</v>
      </c>
      <c r="F15" s="349">
        <v>702239.86</v>
      </c>
      <c r="G15" s="349">
        <v>786011.36</v>
      </c>
      <c r="H15" s="354">
        <v>2017</v>
      </c>
    </row>
    <row r="16" spans="2:13">
      <c r="B16" s="347" t="s">
        <v>669</v>
      </c>
      <c r="C16" s="347">
        <v>12</v>
      </c>
      <c r="D16" s="348" t="s">
        <v>681</v>
      </c>
      <c r="E16" s="349">
        <v>65824.84</v>
      </c>
      <c r="F16" s="349">
        <v>524387.86</v>
      </c>
      <c r="G16" s="349">
        <v>590212.69999999995</v>
      </c>
      <c r="H16" s="354">
        <v>2017</v>
      </c>
    </row>
    <row r="17" spans="2:8">
      <c r="B17" s="347" t="s">
        <v>678</v>
      </c>
      <c r="C17" s="347">
        <v>4</v>
      </c>
      <c r="D17" s="348" t="s">
        <v>681</v>
      </c>
      <c r="E17" s="349">
        <v>84605.51</v>
      </c>
      <c r="F17" s="349">
        <v>701405.85</v>
      </c>
      <c r="G17" s="349">
        <v>786011.36</v>
      </c>
      <c r="H17" s="354">
        <v>2017</v>
      </c>
    </row>
    <row r="18" spans="2:8">
      <c r="B18" s="347" t="s">
        <v>669</v>
      </c>
      <c r="C18" s="347">
        <v>13</v>
      </c>
      <c r="D18" s="348" t="s">
        <v>682</v>
      </c>
      <c r="E18" s="349">
        <v>66455.61</v>
      </c>
      <c r="F18" s="349">
        <v>523757.09</v>
      </c>
      <c r="G18" s="349">
        <v>590212.69999999995</v>
      </c>
      <c r="H18" s="354">
        <v>2018</v>
      </c>
    </row>
    <row r="19" spans="2:8">
      <c r="B19" s="347" t="s">
        <v>678</v>
      </c>
      <c r="C19" s="347">
        <v>5</v>
      </c>
      <c r="D19" s="348" t="s">
        <v>682</v>
      </c>
      <c r="E19" s="349">
        <v>85447.82</v>
      </c>
      <c r="F19" s="349">
        <v>700563.54</v>
      </c>
      <c r="G19" s="349">
        <v>786011.36</v>
      </c>
      <c r="H19" s="354">
        <v>2018</v>
      </c>
    </row>
    <row r="20" spans="2:8">
      <c r="B20" s="347" t="s">
        <v>669</v>
      </c>
      <c r="C20" s="347">
        <v>14</v>
      </c>
      <c r="D20" s="348" t="s">
        <v>683</v>
      </c>
      <c r="E20" s="349">
        <v>67092.42</v>
      </c>
      <c r="F20" s="349">
        <v>523120.28</v>
      </c>
      <c r="G20" s="349">
        <v>590212.69999999995</v>
      </c>
      <c r="H20" s="354">
        <v>2018</v>
      </c>
    </row>
    <row r="21" spans="2:8">
      <c r="B21" s="347" t="s">
        <v>678</v>
      </c>
      <c r="C21" s="347">
        <v>6</v>
      </c>
      <c r="D21" s="348" t="s">
        <v>683</v>
      </c>
      <c r="E21" s="349">
        <v>86298.52</v>
      </c>
      <c r="F21" s="349">
        <v>699712.84</v>
      </c>
      <c r="G21" s="349">
        <v>786011.36</v>
      </c>
      <c r="H21" s="354">
        <v>2018</v>
      </c>
    </row>
    <row r="22" spans="2:8">
      <c r="B22" s="347" t="s">
        <v>684</v>
      </c>
      <c r="C22" s="347">
        <v>1</v>
      </c>
      <c r="D22" s="348" t="s">
        <v>683</v>
      </c>
      <c r="E22" s="349">
        <v>72788.22</v>
      </c>
      <c r="F22" s="349">
        <v>771701.87</v>
      </c>
      <c r="G22" s="349">
        <v>844490.09</v>
      </c>
      <c r="H22" s="354">
        <v>2018</v>
      </c>
    </row>
    <row r="23" spans="2:8">
      <c r="B23" s="347" t="s">
        <v>669</v>
      </c>
      <c r="C23" s="347">
        <v>15</v>
      </c>
      <c r="D23" s="348" t="s">
        <v>685</v>
      </c>
      <c r="E23" s="349">
        <v>67735.33</v>
      </c>
      <c r="F23" s="349">
        <v>522477.37</v>
      </c>
      <c r="G23" s="349">
        <v>590212.69999999995</v>
      </c>
      <c r="H23" s="354">
        <v>2018</v>
      </c>
    </row>
    <row r="24" spans="2:8">
      <c r="B24" s="347" t="s">
        <v>678</v>
      </c>
      <c r="C24" s="347">
        <v>7</v>
      </c>
      <c r="D24" s="348" t="s">
        <v>685</v>
      </c>
      <c r="E24" s="349">
        <v>87157.69</v>
      </c>
      <c r="F24" s="349">
        <v>698853.67</v>
      </c>
      <c r="G24" s="349">
        <v>786011.36</v>
      </c>
      <c r="H24" s="354">
        <v>2018</v>
      </c>
    </row>
    <row r="25" spans="2:8">
      <c r="B25" s="347" t="s">
        <v>684</v>
      </c>
      <c r="C25" s="347">
        <v>2</v>
      </c>
      <c r="D25" s="348" t="s">
        <v>685</v>
      </c>
      <c r="E25" s="349">
        <v>73618.929999999993</v>
      </c>
      <c r="F25" s="349">
        <v>770871.16</v>
      </c>
      <c r="G25" s="349">
        <v>844490.09</v>
      </c>
      <c r="H25" s="354">
        <v>2018</v>
      </c>
    </row>
    <row r="26" spans="2:8">
      <c r="B26" s="347" t="s">
        <v>669</v>
      </c>
      <c r="C26" s="347">
        <v>16</v>
      </c>
      <c r="D26" s="348" t="s">
        <v>686</v>
      </c>
      <c r="E26" s="349">
        <v>68384.41</v>
      </c>
      <c r="F26" s="349">
        <v>521828.29</v>
      </c>
      <c r="G26" s="349">
        <v>590212.69999999995</v>
      </c>
      <c r="H26" s="354">
        <v>2018</v>
      </c>
    </row>
    <row r="27" spans="2:8">
      <c r="B27" s="347" t="s">
        <v>678</v>
      </c>
      <c r="C27" s="347">
        <v>8</v>
      </c>
      <c r="D27" s="348" t="s">
        <v>686</v>
      </c>
      <c r="E27" s="349">
        <v>88025.42</v>
      </c>
      <c r="F27" s="349">
        <v>697985.94</v>
      </c>
      <c r="G27" s="349">
        <v>786011.36</v>
      </c>
      <c r="H27" s="354">
        <v>2018</v>
      </c>
    </row>
    <row r="28" spans="2:8">
      <c r="B28" s="347" t="s">
        <v>684</v>
      </c>
      <c r="C28" s="347">
        <v>3</v>
      </c>
      <c r="D28" s="348" t="s">
        <v>686</v>
      </c>
      <c r="E28" s="349">
        <v>74459.12</v>
      </c>
      <c r="F28" s="349">
        <v>770030.97</v>
      </c>
      <c r="G28" s="349">
        <v>844490.09</v>
      </c>
      <c r="H28" s="354">
        <v>2018</v>
      </c>
    </row>
    <row r="29" spans="2:8">
      <c r="B29" s="347" t="s">
        <v>669</v>
      </c>
      <c r="C29" s="347">
        <v>17</v>
      </c>
      <c r="D29" s="348" t="s">
        <v>687</v>
      </c>
      <c r="E29" s="349">
        <v>69039.7</v>
      </c>
      <c r="F29" s="349">
        <v>521173</v>
      </c>
      <c r="G29" s="349">
        <v>590212.69999999995</v>
      </c>
      <c r="H29" s="354">
        <v>2018</v>
      </c>
    </row>
    <row r="30" spans="2:8">
      <c r="B30" s="347" t="s">
        <v>678</v>
      </c>
      <c r="C30" s="347">
        <v>9</v>
      </c>
      <c r="D30" s="348" t="s">
        <v>687</v>
      </c>
      <c r="E30" s="349">
        <v>88901.78</v>
      </c>
      <c r="F30" s="349">
        <v>697109.58</v>
      </c>
      <c r="G30" s="349">
        <v>786011.36</v>
      </c>
      <c r="H30" s="354">
        <v>2018</v>
      </c>
    </row>
    <row r="31" spans="2:8">
      <c r="B31" s="347" t="s">
        <v>684</v>
      </c>
      <c r="C31" s="347">
        <v>4</v>
      </c>
      <c r="D31" s="348" t="s">
        <v>687</v>
      </c>
      <c r="E31" s="349">
        <v>75308.899999999994</v>
      </c>
      <c r="F31" s="349">
        <v>769181.19</v>
      </c>
      <c r="G31" s="349">
        <v>844490.09</v>
      </c>
      <c r="H31" s="354">
        <v>2018</v>
      </c>
    </row>
    <row r="32" spans="2:8">
      <c r="B32" s="347" t="s">
        <v>669</v>
      </c>
      <c r="C32" s="347">
        <v>18</v>
      </c>
      <c r="D32" s="348" t="s">
        <v>688</v>
      </c>
      <c r="E32" s="349">
        <v>69701.27</v>
      </c>
      <c r="F32" s="349">
        <v>520511.43</v>
      </c>
      <c r="G32" s="349">
        <v>590212.69999999995</v>
      </c>
      <c r="H32" s="354">
        <v>2018</v>
      </c>
    </row>
    <row r="33" spans="2:8">
      <c r="B33" s="347" t="s">
        <v>678</v>
      </c>
      <c r="C33" s="347">
        <v>11</v>
      </c>
      <c r="D33" s="348" t="s">
        <v>688</v>
      </c>
      <c r="E33" s="349">
        <v>89786.86</v>
      </c>
      <c r="F33" s="349">
        <v>696224.5</v>
      </c>
      <c r="G33" s="349">
        <v>786011.36</v>
      </c>
      <c r="H33" s="354">
        <v>2018</v>
      </c>
    </row>
    <row r="34" spans="2:8">
      <c r="B34" s="347" t="s">
        <v>684</v>
      </c>
      <c r="C34" s="347">
        <v>5</v>
      </c>
      <c r="D34" s="348" t="s">
        <v>688</v>
      </c>
      <c r="E34" s="349">
        <v>76168.38</v>
      </c>
      <c r="F34" s="349">
        <v>768321.71</v>
      </c>
      <c r="G34" s="349">
        <v>844490.09</v>
      </c>
      <c r="H34" s="354">
        <v>2018</v>
      </c>
    </row>
    <row r="35" spans="2:8">
      <c r="B35" s="347" t="s">
        <v>669</v>
      </c>
      <c r="C35" s="347">
        <v>19</v>
      </c>
      <c r="D35" s="348" t="s">
        <v>689</v>
      </c>
      <c r="E35" s="349">
        <v>70369.19</v>
      </c>
      <c r="F35" s="349">
        <v>519843.51</v>
      </c>
      <c r="G35" s="349">
        <v>590212.69999999995</v>
      </c>
      <c r="H35" s="354">
        <v>2018</v>
      </c>
    </row>
    <row r="36" spans="2:8">
      <c r="B36" s="347" t="s">
        <v>678</v>
      </c>
      <c r="C36" s="347">
        <v>12</v>
      </c>
      <c r="D36" s="348" t="s">
        <v>689</v>
      </c>
      <c r="E36" s="349">
        <v>90680.76</v>
      </c>
      <c r="F36" s="349">
        <v>695330.6</v>
      </c>
      <c r="G36" s="349">
        <v>786011.36</v>
      </c>
      <c r="H36" s="354">
        <v>2018</v>
      </c>
    </row>
    <row r="37" spans="2:8">
      <c r="B37" s="347" t="s">
        <v>684</v>
      </c>
      <c r="C37" s="347">
        <v>6</v>
      </c>
      <c r="D37" s="348" t="s">
        <v>689</v>
      </c>
      <c r="E37" s="349">
        <v>77037.66</v>
      </c>
      <c r="F37" s="349">
        <v>767452.43</v>
      </c>
      <c r="G37" s="349">
        <v>844490.09</v>
      </c>
      <c r="H37" s="354">
        <v>2018</v>
      </c>
    </row>
    <row r="38" spans="2:8">
      <c r="B38" s="347" t="s">
        <v>669</v>
      </c>
      <c r="C38" s="347">
        <v>20</v>
      </c>
      <c r="D38" s="348" t="s">
        <v>690</v>
      </c>
      <c r="E38" s="349">
        <v>71043.5</v>
      </c>
      <c r="F38" s="349">
        <v>519169.2</v>
      </c>
      <c r="G38" s="349">
        <v>590212.69999999995</v>
      </c>
      <c r="H38" s="354">
        <v>2018</v>
      </c>
    </row>
    <row r="39" spans="2:8">
      <c r="B39" s="347" t="s">
        <v>678</v>
      </c>
      <c r="C39" s="347">
        <v>13</v>
      </c>
      <c r="D39" s="348" t="s">
        <v>690</v>
      </c>
      <c r="E39" s="349">
        <v>91583.56</v>
      </c>
      <c r="F39" s="349">
        <v>694427.8</v>
      </c>
      <c r="G39" s="349">
        <v>786011.36</v>
      </c>
      <c r="H39" s="354">
        <v>2018</v>
      </c>
    </row>
    <row r="40" spans="2:8">
      <c r="B40" s="347" t="s">
        <v>684</v>
      </c>
      <c r="C40" s="347">
        <v>7</v>
      </c>
      <c r="D40" s="348" t="s">
        <v>690</v>
      </c>
      <c r="E40" s="349">
        <v>77916.87</v>
      </c>
      <c r="F40" s="349">
        <v>766573.22</v>
      </c>
      <c r="G40" s="349">
        <v>844490.09</v>
      </c>
      <c r="H40" s="354">
        <v>2018</v>
      </c>
    </row>
    <row r="41" spans="2:8">
      <c r="B41" s="347" t="s">
        <v>669</v>
      </c>
      <c r="C41" s="347">
        <v>21</v>
      </c>
      <c r="D41" s="348" t="s">
        <v>691</v>
      </c>
      <c r="E41" s="349">
        <v>73703.02</v>
      </c>
      <c r="F41" s="349">
        <v>532792.59</v>
      </c>
      <c r="G41" s="349">
        <v>606495.61</v>
      </c>
      <c r="H41" s="354">
        <v>2018</v>
      </c>
    </row>
    <row r="42" spans="2:8">
      <c r="B42" s="347" t="s">
        <v>678</v>
      </c>
      <c r="C42" s="347">
        <v>14</v>
      </c>
      <c r="D42" s="348" t="s">
        <v>691</v>
      </c>
      <c r="E42" s="349">
        <v>95047.12</v>
      </c>
      <c r="F42" s="349">
        <v>712648.89</v>
      </c>
      <c r="G42" s="349">
        <v>807696.01</v>
      </c>
      <c r="H42" s="354">
        <v>2018</v>
      </c>
    </row>
    <row r="43" spans="2:8">
      <c r="B43" s="347" t="s">
        <v>684</v>
      </c>
      <c r="C43" s="347">
        <v>8</v>
      </c>
      <c r="D43" s="348" t="s">
        <v>691</v>
      </c>
      <c r="E43" s="349">
        <v>80980.22</v>
      </c>
      <c r="F43" s="349">
        <v>786807.84</v>
      </c>
      <c r="G43" s="349">
        <v>867788.06</v>
      </c>
      <c r="H43" s="354">
        <v>2018</v>
      </c>
    </row>
    <row r="44" spans="2:8">
      <c r="B44" s="347" t="s">
        <v>669</v>
      </c>
      <c r="C44" s="347">
        <v>22</v>
      </c>
      <c r="D44" s="348" t="s">
        <v>692</v>
      </c>
      <c r="E44" s="349">
        <v>74409.279999999999</v>
      </c>
      <c r="F44" s="349">
        <v>532086.32999999996</v>
      </c>
      <c r="G44" s="349">
        <v>606495.61</v>
      </c>
      <c r="H44" s="354">
        <v>2018</v>
      </c>
    </row>
    <row r="45" spans="2:8">
      <c r="B45" s="347" t="s">
        <v>678</v>
      </c>
      <c r="C45" s="347">
        <v>15</v>
      </c>
      <c r="D45" s="348" t="s">
        <v>692</v>
      </c>
      <c r="E45" s="349">
        <v>95993.39</v>
      </c>
      <c r="F45" s="349">
        <v>711702.62</v>
      </c>
      <c r="G45" s="349">
        <v>807696.01</v>
      </c>
      <c r="H45" s="354">
        <v>2018</v>
      </c>
    </row>
    <row r="46" spans="2:8">
      <c r="B46" s="347" t="s">
        <v>684</v>
      </c>
      <c r="C46" s="347">
        <v>9</v>
      </c>
      <c r="D46" s="348" t="s">
        <v>692</v>
      </c>
      <c r="E46" s="349">
        <v>81904.429999999993</v>
      </c>
      <c r="F46" s="349">
        <v>785883.63</v>
      </c>
      <c r="G46" s="349">
        <v>867788.06</v>
      </c>
      <c r="H46" s="354">
        <v>2018</v>
      </c>
    </row>
    <row r="47" spans="2:8">
      <c r="B47" s="347" t="s">
        <v>693</v>
      </c>
      <c r="C47" s="347">
        <v>1</v>
      </c>
      <c r="D47" s="348" t="s">
        <v>692</v>
      </c>
      <c r="E47" s="349">
        <v>223409.1</v>
      </c>
      <c r="F47" s="349">
        <v>365296.68</v>
      </c>
      <c r="G47" s="349">
        <v>588705.78</v>
      </c>
      <c r="H47" s="354">
        <v>2018</v>
      </c>
    </row>
    <row r="48" spans="2:8">
      <c r="B48" s="347" t="s">
        <v>669</v>
      </c>
      <c r="C48" s="347">
        <v>23</v>
      </c>
      <c r="D48" s="348" t="s">
        <v>694</v>
      </c>
      <c r="E48" s="349">
        <v>75122.31</v>
      </c>
      <c r="F48" s="349">
        <v>531373.30000000005</v>
      </c>
      <c r="G48" s="349">
        <v>606495.61</v>
      </c>
      <c r="H48" s="354">
        <v>2018</v>
      </c>
    </row>
    <row r="49" spans="2:8">
      <c r="B49" s="347" t="s">
        <v>678</v>
      </c>
      <c r="C49" s="347">
        <v>16</v>
      </c>
      <c r="D49" s="348" t="s">
        <v>694</v>
      </c>
      <c r="E49" s="349">
        <v>96949.08</v>
      </c>
      <c r="F49" s="349">
        <v>710746.93</v>
      </c>
      <c r="G49" s="349">
        <v>807696.01</v>
      </c>
      <c r="H49" s="354">
        <v>2018</v>
      </c>
    </row>
    <row r="50" spans="2:8">
      <c r="B50" s="347" t="s">
        <v>684</v>
      </c>
      <c r="C50" s="347">
        <v>11</v>
      </c>
      <c r="D50" s="348" t="s">
        <v>694</v>
      </c>
      <c r="E50" s="349">
        <v>82839.17</v>
      </c>
      <c r="F50" s="349">
        <v>784948.89</v>
      </c>
      <c r="G50" s="349">
        <v>867788.06</v>
      </c>
      <c r="H50" s="354">
        <v>2018</v>
      </c>
    </row>
    <row r="51" spans="2:8">
      <c r="B51" s="347" t="s">
        <v>693</v>
      </c>
      <c r="C51" s="347">
        <v>2</v>
      </c>
      <c r="D51" s="348" t="s">
        <v>694</v>
      </c>
      <c r="E51" s="349">
        <v>224472.73</v>
      </c>
      <c r="F51" s="349">
        <v>364233.05</v>
      </c>
      <c r="G51" s="349">
        <v>588705.78</v>
      </c>
      <c r="H51" s="354">
        <v>2018</v>
      </c>
    </row>
    <row r="52" spans="2:8">
      <c r="B52" s="347" t="s">
        <v>669</v>
      </c>
      <c r="C52" s="347">
        <v>24</v>
      </c>
      <c r="D52" s="348" t="s">
        <v>695</v>
      </c>
      <c r="E52" s="349">
        <v>75842.17</v>
      </c>
      <c r="F52" s="349">
        <v>530653.43999999994</v>
      </c>
      <c r="G52" s="349">
        <v>606495.61</v>
      </c>
      <c r="H52" s="354">
        <v>2018</v>
      </c>
    </row>
    <row r="53" spans="2:8">
      <c r="B53" s="347" t="s">
        <v>678</v>
      </c>
      <c r="C53" s="347">
        <v>17</v>
      </c>
      <c r="D53" s="348" t="s">
        <v>695</v>
      </c>
      <c r="E53" s="349">
        <v>97914.28</v>
      </c>
      <c r="F53" s="349">
        <v>709781.73</v>
      </c>
      <c r="G53" s="349">
        <v>807696.01</v>
      </c>
      <c r="H53" s="354">
        <v>2018</v>
      </c>
    </row>
    <row r="54" spans="2:8">
      <c r="B54" s="347" t="s">
        <v>684</v>
      </c>
      <c r="C54" s="347">
        <v>12</v>
      </c>
      <c r="D54" s="348" t="s">
        <v>695</v>
      </c>
      <c r="E54" s="349">
        <v>83784.59</v>
      </c>
      <c r="F54" s="349">
        <v>784003.47</v>
      </c>
      <c r="G54" s="349">
        <v>867788.06</v>
      </c>
      <c r="H54" s="354">
        <v>2018</v>
      </c>
    </row>
    <row r="55" spans="2:8">
      <c r="B55" s="347" t="s">
        <v>693</v>
      </c>
      <c r="C55" s="347">
        <v>3</v>
      </c>
      <c r="D55" s="348" t="s">
        <v>695</v>
      </c>
      <c r="E55" s="349">
        <v>225541.42</v>
      </c>
      <c r="F55" s="349">
        <v>363164.36</v>
      </c>
      <c r="G55" s="349">
        <v>588705.78</v>
      </c>
      <c r="H55" s="354">
        <v>2018</v>
      </c>
    </row>
    <row r="56" spans="2:8">
      <c r="B56" s="347" t="s">
        <v>669</v>
      </c>
      <c r="C56" s="347">
        <v>25</v>
      </c>
      <c r="D56" s="348" t="s">
        <v>696</v>
      </c>
      <c r="E56" s="349">
        <v>76568.929999999993</v>
      </c>
      <c r="F56" s="349">
        <v>529926.68000000005</v>
      </c>
      <c r="G56" s="349">
        <v>606495.61</v>
      </c>
      <c r="H56" s="354">
        <v>2019</v>
      </c>
    </row>
    <row r="57" spans="2:8">
      <c r="B57" s="347" t="s">
        <v>678</v>
      </c>
      <c r="C57" s="347">
        <v>18</v>
      </c>
      <c r="D57" s="348" t="s">
        <v>696</v>
      </c>
      <c r="E57" s="349">
        <v>98889.1</v>
      </c>
      <c r="F57" s="349">
        <v>708806.91</v>
      </c>
      <c r="G57" s="349">
        <v>807696.01</v>
      </c>
      <c r="H57" s="354">
        <v>2019</v>
      </c>
    </row>
    <row r="58" spans="2:8">
      <c r="B58" s="347" t="s">
        <v>684</v>
      </c>
      <c r="C58" s="347">
        <v>13</v>
      </c>
      <c r="D58" s="348" t="s">
        <v>696</v>
      </c>
      <c r="E58" s="349">
        <v>84740.800000000003</v>
      </c>
      <c r="F58" s="349">
        <v>783047.26</v>
      </c>
      <c r="G58" s="349">
        <v>867788.06</v>
      </c>
      <c r="H58" s="354">
        <v>2019</v>
      </c>
    </row>
    <row r="59" spans="2:8">
      <c r="B59" s="347" t="s">
        <v>693</v>
      </c>
      <c r="C59" s="347">
        <v>4</v>
      </c>
      <c r="D59" s="348" t="s">
        <v>696</v>
      </c>
      <c r="E59" s="349">
        <v>226615.21</v>
      </c>
      <c r="F59" s="349">
        <v>362090.57</v>
      </c>
      <c r="G59" s="349">
        <v>588705.78</v>
      </c>
      <c r="H59" s="354">
        <v>2019</v>
      </c>
    </row>
    <row r="60" spans="2:8">
      <c r="B60" s="347" t="s">
        <v>669</v>
      </c>
      <c r="C60" s="347">
        <v>26</v>
      </c>
      <c r="D60" s="348" t="s">
        <v>697</v>
      </c>
      <c r="E60" s="349">
        <v>77302.649999999994</v>
      </c>
      <c r="F60" s="349">
        <v>529192.95999999996</v>
      </c>
      <c r="G60" s="349">
        <v>606495.61</v>
      </c>
      <c r="H60" s="354">
        <v>2019</v>
      </c>
    </row>
    <row r="61" spans="2:8">
      <c r="B61" s="347" t="s">
        <v>678</v>
      </c>
      <c r="C61" s="347">
        <v>19</v>
      </c>
      <c r="D61" s="348" t="s">
        <v>697</v>
      </c>
      <c r="E61" s="349">
        <v>99873.61</v>
      </c>
      <c r="F61" s="349">
        <v>707822.4</v>
      </c>
      <c r="G61" s="349">
        <v>807696.01</v>
      </c>
      <c r="H61" s="354">
        <v>2019</v>
      </c>
    </row>
    <row r="62" spans="2:8">
      <c r="B62" s="347" t="s">
        <v>684</v>
      </c>
      <c r="C62" s="347">
        <v>14</v>
      </c>
      <c r="D62" s="348" t="s">
        <v>697</v>
      </c>
      <c r="E62" s="349">
        <v>85707.92</v>
      </c>
      <c r="F62" s="349">
        <v>782080.14</v>
      </c>
      <c r="G62" s="349">
        <v>867788.06</v>
      </c>
      <c r="H62" s="354">
        <v>2019</v>
      </c>
    </row>
    <row r="63" spans="2:8">
      <c r="B63" s="347" t="s">
        <v>693</v>
      </c>
      <c r="C63" s="347">
        <v>5</v>
      </c>
      <c r="D63" s="348" t="s">
        <v>697</v>
      </c>
      <c r="E63" s="349">
        <v>227694.1</v>
      </c>
      <c r="F63" s="349">
        <v>361011.68</v>
      </c>
      <c r="G63" s="349">
        <v>588705.78</v>
      </c>
      <c r="H63" s="354">
        <v>2019</v>
      </c>
    </row>
    <row r="64" spans="2:8">
      <c r="B64" s="347" t="s">
        <v>669</v>
      </c>
      <c r="C64" s="347">
        <v>27</v>
      </c>
      <c r="D64" s="348" t="s">
        <v>698</v>
      </c>
      <c r="E64" s="349">
        <v>78043.41</v>
      </c>
      <c r="F64" s="349">
        <v>528452.19999999995</v>
      </c>
      <c r="G64" s="349">
        <v>606495.61</v>
      </c>
      <c r="H64" s="354">
        <v>2019</v>
      </c>
    </row>
    <row r="65" spans="2:8">
      <c r="B65" s="347" t="s">
        <v>678</v>
      </c>
      <c r="C65" s="347">
        <v>20</v>
      </c>
      <c r="D65" s="348" t="s">
        <v>698</v>
      </c>
      <c r="E65" s="349">
        <v>100867.93</v>
      </c>
      <c r="F65" s="349">
        <v>706828.08</v>
      </c>
      <c r="G65" s="349">
        <v>807696.01</v>
      </c>
      <c r="H65" s="354">
        <v>2019</v>
      </c>
    </row>
    <row r="66" spans="2:8">
      <c r="B66" s="347" t="s">
        <v>684</v>
      </c>
      <c r="C66" s="347">
        <v>15</v>
      </c>
      <c r="D66" s="348" t="s">
        <v>698</v>
      </c>
      <c r="E66" s="349">
        <v>86686.080000000002</v>
      </c>
      <c r="F66" s="349">
        <v>781101.98</v>
      </c>
      <c r="G66" s="349">
        <v>867788.06</v>
      </c>
      <c r="H66" s="354">
        <v>2019</v>
      </c>
    </row>
    <row r="67" spans="2:8">
      <c r="B67" s="347" t="s">
        <v>693</v>
      </c>
      <c r="C67" s="347">
        <v>6</v>
      </c>
      <c r="D67" s="348" t="s">
        <v>698</v>
      </c>
      <c r="E67" s="349">
        <v>228778.13</v>
      </c>
      <c r="F67" s="349">
        <v>359927.65</v>
      </c>
      <c r="G67" s="349">
        <v>588705.78</v>
      </c>
      <c r="H67" s="354">
        <v>2019</v>
      </c>
    </row>
    <row r="68" spans="2:8">
      <c r="B68" s="347" t="s">
        <v>669</v>
      </c>
      <c r="C68" s="347">
        <v>28</v>
      </c>
      <c r="D68" s="348" t="s">
        <v>699</v>
      </c>
      <c r="E68" s="349">
        <v>78791.259999999995</v>
      </c>
      <c r="F68" s="349">
        <v>527704.35</v>
      </c>
      <c r="G68" s="349">
        <v>606495.61</v>
      </c>
      <c r="H68" s="354">
        <v>2019</v>
      </c>
    </row>
    <row r="69" spans="2:8">
      <c r="B69" s="347" t="s">
        <v>678</v>
      </c>
      <c r="C69" s="347">
        <v>21</v>
      </c>
      <c r="D69" s="348" t="s">
        <v>699</v>
      </c>
      <c r="E69" s="349">
        <v>101872.15</v>
      </c>
      <c r="F69" s="349">
        <v>705823.86</v>
      </c>
      <c r="G69" s="349">
        <v>807696.01</v>
      </c>
      <c r="H69" s="354">
        <v>2019</v>
      </c>
    </row>
    <row r="70" spans="2:8">
      <c r="B70" s="347" t="s">
        <v>684</v>
      </c>
      <c r="C70" s="347">
        <v>16</v>
      </c>
      <c r="D70" s="348" t="s">
        <v>699</v>
      </c>
      <c r="E70" s="349">
        <v>87675.4</v>
      </c>
      <c r="F70" s="349">
        <v>780112.66</v>
      </c>
      <c r="G70" s="349">
        <v>867788.06</v>
      </c>
      <c r="H70" s="354">
        <v>2019</v>
      </c>
    </row>
    <row r="71" spans="2:8">
      <c r="B71" s="347" t="s">
        <v>693</v>
      </c>
      <c r="C71" s="347">
        <v>7</v>
      </c>
      <c r="D71" s="348" t="s">
        <v>699</v>
      </c>
      <c r="E71" s="349">
        <v>229867.33</v>
      </c>
      <c r="F71" s="349">
        <v>358838.45</v>
      </c>
      <c r="G71" s="349">
        <v>588705.78</v>
      </c>
      <c r="H71" s="354">
        <v>2019</v>
      </c>
    </row>
    <row r="72" spans="2:8">
      <c r="B72" s="347" t="s">
        <v>669</v>
      </c>
      <c r="C72" s="347">
        <v>29</v>
      </c>
      <c r="D72" s="348" t="s">
        <v>700</v>
      </c>
      <c r="E72" s="349">
        <v>79546.28</v>
      </c>
      <c r="F72" s="349">
        <v>526949.32999999996</v>
      </c>
      <c r="G72" s="349">
        <v>606495.61</v>
      </c>
      <c r="H72" s="354">
        <v>2019</v>
      </c>
    </row>
    <row r="73" spans="2:8">
      <c r="B73" s="347" t="s">
        <v>678</v>
      </c>
      <c r="C73" s="347">
        <v>22</v>
      </c>
      <c r="D73" s="348" t="s">
        <v>700</v>
      </c>
      <c r="E73" s="349">
        <v>102886.37</v>
      </c>
      <c r="F73" s="349">
        <v>704809.64</v>
      </c>
      <c r="G73" s="349">
        <v>807696.01</v>
      </c>
      <c r="H73" s="354">
        <v>2019</v>
      </c>
    </row>
    <row r="74" spans="2:8">
      <c r="B74" s="347" t="s">
        <v>684</v>
      </c>
      <c r="C74" s="347">
        <v>17</v>
      </c>
      <c r="D74" s="348" t="s">
        <v>700</v>
      </c>
      <c r="E74" s="349">
        <v>88676.01</v>
      </c>
      <c r="F74" s="349">
        <v>779112.05</v>
      </c>
      <c r="G74" s="349">
        <v>867788.06</v>
      </c>
      <c r="H74" s="354">
        <v>2019</v>
      </c>
    </row>
    <row r="75" spans="2:8">
      <c r="B75" s="347" t="s">
        <v>693</v>
      </c>
      <c r="C75" s="347">
        <v>8</v>
      </c>
      <c r="D75" s="348" t="s">
        <v>700</v>
      </c>
      <c r="E75" s="349">
        <v>230961.71</v>
      </c>
      <c r="F75" s="349">
        <v>357744.07</v>
      </c>
      <c r="G75" s="349">
        <v>588705.78</v>
      </c>
      <c r="H75" s="354">
        <v>2019</v>
      </c>
    </row>
    <row r="76" spans="2:8">
      <c r="B76" s="347" t="s">
        <v>669</v>
      </c>
      <c r="C76" s="347">
        <v>30</v>
      </c>
      <c r="D76" s="348" t="s">
        <v>701</v>
      </c>
      <c r="E76" s="349">
        <v>80308.53</v>
      </c>
      <c r="F76" s="349">
        <v>526187.07999999996</v>
      </c>
      <c r="G76" s="349">
        <v>606495.61</v>
      </c>
      <c r="H76" s="354">
        <v>2019</v>
      </c>
    </row>
    <row r="77" spans="2:8">
      <c r="B77" s="347" t="s">
        <v>678</v>
      </c>
      <c r="C77" s="347">
        <v>23</v>
      </c>
      <c r="D77" s="348" t="s">
        <v>701</v>
      </c>
      <c r="E77" s="349">
        <v>103910.68</v>
      </c>
      <c r="F77" s="349">
        <v>703785.33</v>
      </c>
      <c r="G77" s="349">
        <v>807696.01</v>
      </c>
      <c r="H77" s="354">
        <v>2019</v>
      </c>
    </row>
    <row r="78" spans="2:8">
      <c r="B78" s="347" t="s">
        <v>684</v>
      </c>
      <c r="C78" s="347">
        <v>18</v>
      </c>
      <c r="D78" s="348" t="s">
        <v>701</v>
      </c>
      <c r="E78" s="349">
        <v>89688.04</v>
      </c>
      <c r="F78" s="349">
        <v>778100.02</v>
      </c>
      <c r="G78" s="349">
        <v>867788.06</v>
      </c>
      <c r="H78" s="354">
        <v>2019</v>
      </c>
    </row>
    <row r="79" spans="2:8">
      <c r="B79" s="347" t="s">
        <v>693</v>
      </c>
      <c r="C79" s="347">
        <v>9</v>
      </c>
      <c r="D79" s="348" t="s">
        <v>701</v>
      </c>
      <c r="E79" s="349">
        <v>232061.29</v>
      </c>
      <c r="F79" s="349">
        <v>356644.49</v>
      </c>
      <c r="G79" s="349">
        <v>588705.78</v>
      </c>
      <c r="H79" s="354">
        <v>2019</v>
      </c>
    </row>
    <row r="80" spans="2:8">
      <c r="B80" s="347" t="s">
        <v>669</v>
      </c>
      <c r="C80" s="347">
        <v>31</v>
      </c>
      <c r="D80" s="348" t="s">
        <v>702</v>
      </c>
      <c r="E80" s="349">
        <v>81078.09</v>
      </c>
      <c r="F80" s="349">
        <v>525417.52</v>
      </c>
      <c r="G80" s="349">
        <v>606495.61</v>
      </c>
      <c r="H80" s="354">
        <v>2019</v>
      </c>
    </row>
    <row r="81" spans="2:8">
      <c r="B81" s="347" t="s">
        <v>678</v>
      </c>
      <c r="C81" s="347">
        <v>24</v>
      </c>
      <c r="D81" s="348" t="s">
        <v>702</v>
      </c>
      <c r="E81" s="349">
        <v>104945.19</v>
      </c>
      <c r="F81" s="349">
        <v>702750.82</v>
      </c>
      <c r="G81" s="349">
        <v>807696.01</v>
      </c>
      <c r="H81" s="354">
        <v>2019</v>
      </c>
    </row>
    <row r="82" spans="2:8">
      <c r="B82" s="347" t="s">
        <v>684</v>
      </c>
      <c r="C82" s="347">
        <v>19</v>
      </c>
      <c r="D82" s="348" t="s">
        <v>702</v>
      </c>
      <c r="E82" s="349">
        <v>90711.62</v>
      </c>
      <c r="F82" s="349">
        <v>777076.44</v>
      </c>
      <c r="G82" s="349">
        <v>867788.06</v>
      </c>
      <c r="H82" s="354">
        <v>2019</v>
      </c>
    </row>
    <row r="83" spans="2:8">
      <c r="B83" s="347" t="s">
        <v>693</v>
      </c>
      <c r="C83" s="347">
        <v>11</v>
      </c>
      <c r="D83" s="348" t="s">
        <v>702</v>
      </c>
      <c r="E83" s="349">
        <v>233166.12</v>
      </c>
      <c r="F83" s="349">
        <v>355539.66</v>
      </c>
      <c r="G83" s="349">
        <v>588705.78</v>
      </c>
      <c r="H83" s="354">
        <v>2019</v>
      </c>
    </row>
    <row r="84" spans="2:8">
      <c r="B84" s="347" t="s">
        <v>669</v>
      </c>
      <c r="C84" s="347">
        <v>32</v>
      </c>
      <c r="D84" s="348" t="s">
        <v>703</v>
      </c>
      <c r="E84" s="349">
        <v>81855.02</v>
      </c>
      <c r="F84" s="349">
        <v>524640.59</v>
      </c>
      <c r="G84" s="349">
        <v>606495.61</v>
      </c>
      <c r="H84" s="354">
        <v>2019</v>
      </c>
    </row>
    <row r="85" spans="2:8">
      <c r="B85" s="347" t="s">
        <v>678</v>
      </c>
      <c r="C85" s="347">
        <v>25</v>
      </c>
      <c r="D85" s="348" t="s">
        <v>703</v>
      </c>
      <c r="E85" s="349">
        <v>105990</v>
      </c>
      <c r="F85" s="349">
        <v>701706.01</v>
      </c>
      <c r="G85" s="349">
        <v>807696.01</v>
      </c>
      <c r="H85" s="354">
        <v>2019</v>
      </c>
    </row>
    <row r="86" spans="2:8">
      <c r="B86" s="347" t="s">
        <v>684</v>
      </c>
      <c r="C86" s="347">
        <v>20</v>
      </c>
      <c r="D86" s="348" t="s">
        <v>703</v>
      </c>
      <c r="E86" s="349">
        <v>91746.880000000005</v>
      </c>
      <c r="F86" s="349">
        <v>776041.18</v>
      </c>
      <c r="G86" s="349">
        <v>867788.06</v>
      </c>
      <c r="H86" s="354">
        <v>2019</v>
      </c>
    </row>
    <row r="87" spans="2:8">
      <c r="B87" s="347" t="s">
        <v>693</v>
      </c>
      <c r="C87" s="347">
        <v>12</v>
      </c>
      <c r="D87" s="348" t="s">
        <v>703</v>
      </c>
      <c r="E87" s="349">
        <v>234276.2</v>
      </c>
      <c r="F87" s="349">
        <v>354429.58</v>
      </c>
      <c r="G87" s="349">
        <v>588705.78</v>
      </c>
      <c r="H87" s="354">
        <v>2019</v>
      </c>
    </row>
    <row r="88" spans="2:8">
      <c r="B88" s="347" t="s">
        <v>669</v>
      </c>
      <c r="C88" s="347">
        <v>33</v>
      </c>
      <c r="D88" s="348" t="s">
        <v>704</v>
      </c>
      <c r="E88" s="349">
        <v>85772.01</v>
      </c>
      <c r="F88" s="349">
        <v>543714.06999999995</v>
      </c>
      <c r="G88" s="349">
        <v>629486.07999999996</v>
      </c>
      <c r="H88" s="354">
        <v>2019</v>
      </c>
    </row>
    <row r="89" spans="2:8">
      <c r="B89" s="347" t="s">
        <v>678</v>
      </c>
      <c r="C89" s="347">
        <v>26</v>
      </c>
      <c r="D89" s="348" t="s">
        <v>704</v>
      </c>
      <c r="E89" s="349">
        <v>111102.98</v>
      </c>
      <c r="F89" s="349">
        <v>727210.43</v>
      </c>
      <c r="G89" s="349">
        <v>838313.41</v>
      </c>
      <c r="H89" s="354">
        <v>2019</v>
      </c>
    </row>
    <row r="90" spans="2:8">
      <c r="B90" s="347" t="s">
        <v>684</v>
      </c>
      <c r="C90" s="347">
        <v>21</v>
      </c>
      <c r="D90" s="348" t="s">
        <v>704</v>
      </c>
      <c r="E90" s="349">
        <v>96311.51</v>
      </c>
      <c r="F90" s="349">
        <v>804371.87</v>
      </c>
      <c r="G90" s="349">
        <v>900683.38</v>
      </c>
      <c r="H90" s="354">
        <v>2019</v>
      </c>
    </row>
    <row r="91" spans="2:8">
      <c r="B91" s="347" t="s">
        <v>693</v>
      </c>
      <c r="C91" s="347">
        <v>13</v>
      </c>
      <c r="D91" s="348" t="s">
        <v>704</v>
      </c>
      <c r="E91" s="349">
        <v>244314.58</v>
      </c>
      <c r="F91" s="349">
        <v>366707.31</v>
      </c>
      <c r="G91" s="349">
        <v>611021.89</v>
      </c>
      <c r="H91" s="354">
        <v>2019</v>
      </c>
    </row>
    <row r="92" spans="2:8">
      <c r="B92" s="347" t="s">
        <v>669</v>
      </c>
      <c r="C92" s="347">
        <v>34</v>
      </c>
      <c r="D92" s="348" t="s">
        <v>705</v>
      </c>
      <c r="E92" s="349">
        <v>86593.919999999998</v>
      </c>
      <c r="F92" s="349">
        <v>542892.16</v>
      </c>
      <c r="G92" s="349">
        <v>629486.07999999996</v>
      </c>
      <c r="H92" s="354">
        <v>2019</v>
      </c>
    </row>
    <row r="93" spans="2:8">
      <c r="B93" s="347" t="s">
        <v>678</v>
      </c>
      <c r="C93" s="347">
        <v>27</v>
      </c>
      <c r="D93" s="348" t="s">
        <v>705</v>
      </c>
      <c r="E93" s="349">
        <v>112209.1</v>
      </c>
      <c r="F93" s="349">
        <v>726104.31</v>
      </c>
      <c r="G93" s="349">
        <v>838313.41</v>
      </c>
      <c r="H93" s="354">
        <v>2019</v>
      </c>
    </row>
    <row r="94" spans="2:8">
      <c r="B94" s="347" t="s">
        <v>684</v>
      </c>
      <c r="C94" s="347">
        <v>22</v>
      </c>
      <c r="D94" s="348" t="s">
        <v>705</v>
      </c>
      <c r="E94" s="349">
        <v>97410.69</v>
      </c>
      <c r="F94" s="349">
        <v>803272.69</v>
      </c>
      <c r="G94" s="349">
        <v>900683.38</v>
      </c>
      <c r="H94" s="354">
        <v>2019</v>
      </c>
    </row>
    <row r="95" spans="2:8">
      <c r="B95" s="347" t="s">
        <v>693</v>
      </c>
      <c r="C95" s="347">
        <v>14</v>
      </c>
      <c r="D95" s="348" t="s">
        <v>705</v>
      </c>
      <c r="E95" s="349">
        <v>245477.74</v>
      </c>
      <c r="F95" s="349">
        <v>365544.15</v>
      </c>
      <c r="G95" s="349">
        <v>611021.89</v>
      </c>
      <c r="H95" s="354">
        <v>2019</v>
      </c>
    </row>
    <row r="96" spans="2:8">
      <c r="B96" s="347" t="s">
        <v>669</v>
      </c>
      <c r="C96" s="347">
        <v>35</v>
      </c>
      <c r="D96" s="348" t="s">
        <v>706</v>
      </c>
      <c r="E96" s="349">
        <v>87423.71</v>
      </c>
      <c r="F96" s="349">
        <v>542062.37</v>
      </c>
      <c r="G96" s="349">
        <v>629486.07999999996</v>
      </c>
      <c r="H96" s="354">
        <v>2019</v>
      </c>
    </row>
    <row r="97" spans="2:8">
      <c r="B97" s="347" t="s">
        <v>678</v>
      </c>
      <c r="C97" s="347">
        <v>28</v>
      </c>
      <c r="D97" s="348" t="s">
        <v>706</v>
      </c>
      <c r="E97" s="349">
        <v>113326.23</v>
      </c>
      <c r="F97" s="349">
        <v>724987.18</v>
      </c>
      <c r="G97" s="349">
        <v>838313.41</v>
      </c>
      <c r="H97" s="354">
        <v>2019</v>
      </c>
    </row>
    <row r="98" spans="2:8">
      <c r="B98" s="347" t="s">
        <v>684</v>
      </c>
      <c r="C98" s="347">
        <v>23</v>
      </c>
      <c r="D98" s="348" t="s">
        <v>706</v>
      </c>
      <c r="E98" s="349">
        <v>98522.4</v>
      </c>
      <c r="F98" s="349">
        <v>802160.98</v>
      </c>
      <c r="G98" s="349">
        <v>900683.38</v>
      </c>
      <c r="H98" s="354">
        <v>2019</v>
      </c>
    </row>
    <row r="99" spans="2:8">
      <c r="B99" s="347" t="s">
        <v>693</v>
      </c>
      <c r="C99" s="347">
        <v>15</v>
      </c>
      <c r="D99" s="348" t="s">
        <v>706</v>
      </c>
      <c r="E99" s="349">
        <v>246646.44</v>
      </c>
      <c r="F99" s="349">
        <v>364375.45</v>
      </c>
      <c r="G99" s="349">
        <v>611021.89</v>
      </c>
      <c r="H99" s="354">
        <v>2019</v>
      </c>
    </row>
    <row r="100" spans="2:8">
      <c r="B100" s="347" t="s">
        <v>669</v>
      </c>
      <c r="C100" s="347">
        <v>36</v>
      </c>
      <c r="D100" s="348" t="s">
        <v>707</v>
      </c>
      <c r="E100" s="349">
        <v>88261.45</v>
      </c>
      <c r="F100" s="349">
        <v>541224.63</v>
      </c>
      <c r="G100" s="349">
        <v>629486.07999999996</v>
      </c>
      <c r="H100" s="354">
        <v>2019</v>
      </c>
    </row>
    <row r="101" spans="2:8">
      <c r="B101" s="347" t="s">
        <v>678</v>
      </c>
      <c r="C101" s="347">
        <v>29</v>
      </c>
      <c r="D101" s="348" t="s">
        <v>707</v>
      </c>
      <c r="E101" s="349">
        <v>114454.48</v>
      </c>
      <c r="F101" s="349">
        <v>723858.93</v>
      </c>
      <c r="G101" s="349">
        <v>838313.41</v>
      </c>
      <c r="H101" s="354">
        <v>2019</v>
      </c>
    </row>
    <row r="102" spans="2:8">
      <c r="B102" s="347" t="s">
        <v>684</v>
      </c>
      <c r="C102" s="347">
        <v>24</v>
      </c>
      <c r="D102" s="348" t="s">
        <v>707</v>
      </c>
      <c r="E102" s="349">
        <v>99646.81</v>
      </c>
      <c r="F102" s="349">
        <v>801036.57</v>
      </c>
      <c r="G102" s="349">
        <v>900683.38</v>
      </c>
      <c r="H102" s="354">
        <v>2019</v>
      </c>
    </row>
    <row r="103" spans="2:8">
      <c r="B103" s="347" t="s">
        <v>693</v>
      </c>
      <c r="C103" s="347">
        <v>16</v>
      </c>
      <c r="D103" s="348" t="s">
        <v>707</v>
      </c>
      <c r="E103" s="349">
        <v>247820.7</v>
      </c>
      <c r="F103" s="349">
        <v>363201.19</v>
      </c>
      <c r="G103" s="349">
        <v>611021.89</v>
      </c>
      <c r="H103" s="354">
        <v>2019</v>
      </c>
    </row>
    <row r="104" spans="2:8">
      <c r="B104" s="347" t="s">
        <v>669</v>
      </c>
      <c r="C104" s="347">
        <v>37</v>
      </c>
      <c r="D104" s="348" t="s">
        <v>708</v>
      </c>
      <c r="E104" s="349">
        <v>89107.22</v>
      </c>
      <c r="F104" s="349">
        <v>540378.86</v>
      </c>
      <c r="G104" s="349">
        <v>629486.07999999996</v>
      </c>
      <c r="H104" s="354">
        <v>2020</v>
      </c>
    </row>
    <row r="105" spans="2:8">
      <c r="B105" s="347" t="s">
        <v>678</v>
      </c>
      <c r="C105" s="347">
        <v>30</v>
      </c>
      <c r="D105" s="348" t="s">
        <v>708</v>
      </c>
      <c r="E105" s="349">
        <v>115593.96</v>
      </c>
      <c r="F105" s="349">
        <v>722719.45</v>
      </c>
      <c r="G105" s="349">
        <v>838313.41</v>
      </c>
      <c r="H105" s="354">
        <v>2020</v>
      </c>
    </row>
    <row r="106" spans="2:8">
      <c r="B106" s="347" t="s">
        <v>684</v>
      </c>
      <c r="C106" s="347">
        <v>25</v>
      </c>
      <c r="D106" s="348" t="s">
        <v>708</v>
      </c>
      <c r="E106" s="349">
        <v>100784.05</v>
      </c>
      <c r="F106" s="349">
        <v>799899.33</v>
      </c>
      <c r="G106" s="349">
        <v>900683.38</v>
      </c>
      <c r="H106" s="354">
        <v>2020</v>
      </c>
    </row>
    <row r="107" spans="2:8">
      <c r="B107" s="347" t="s">
        <v>693</v>
      </c>
      <c r="C107" s="347">
        <v>17</v>
      </c>
      <c r="D107" s="348" t="s">
        <v>708</v>
      </c>
      <c r="E107" s="349">
        <v>249000.55</v>
      </c>
      <c r="F107" s="349">
        <v>362021.34</v>
      </c>
      <c r="G107" s="349">
        <v>611021.89</v>
      </c>
      <c r="H107" s="354">
        <v>2020</v>
      </c>
    </row>
    <row r="108" spans="2:8">
      <c r="B108" s="347" t="s">
        <v>669</v>
      </c>
      <c r="C108" s="347">
        <v>38</v>
      </c>
      <c r="D108" s="348" t="s">
        <v>709</v>
      </c>
      <c r="E108" s="349">
        <v>89961.09</v>
      </c>
      <c r="F108" s="349">
        <v>539524.99</v>
      </c>
      <c r="G108" s="349">
        <v>629486.07999999996</v>
      </c>
      <c r="H108" s="354">
        <v>2020</v>
      </c>
    </row>
    <row r="109" spans="2:8">
      <c r="B109" s="347" t="s">
        <v>678</v>
      </c>
      <c r="C109" s="347">
        <v>31</v>
      </c>
      <c r="D109" s="348" t="s">
        <v>709</v>
      </c>
      <c r="E109" s="349">
        <v>116744.79</v>
      </c>
      <c r="F109" s="349">
        <v>721568.62</v>
      </c>
      <c r="G109" s="349">
        <v>838313.41</v>
      </c>
      <c r="H109" s="354">
        <v>2020</v>
      </c>
    </row>
    <row r="110" spans="2:8">
      <c r="B110" s="347" t="s">
        <v>684</v>
      </c>
      <c r="C110" s="347">
        <v>26</v>
      </c>
      <c r="D110" s="348" t="s">
        <v>709</v>
      </c>
      <c r="E110" s="349">
        <v>101934.26</v>
      </c>
      <c r="F110" s="349">
        <v>798749.12</v>
      </c>
      <c r="G110" s="349">
        <v>900683.38</v>
      </c>
      <c r="H110" s="354">
        <v>2020</v>
      </c>
    </row>
    <row r="111" spans="2:8">
      <c r="B111" s="347" t="s">
        <v>693</v>
      </c>
      <c r="C111" s="347">
        <v>18</v>
      </c>
      <c r="D111" s="348" t="s">
        <v>709</v>
      </c>
      <c r="E111" s="349">
        <v>250186.02</v>
      </c>
      <c r="F111" s="349">
        <v>360835.87</v>
      </c>
      <c r="G111" s="349">
        <v>611021.89</v>
      </c>
      <c r="H111" s="354">
        <v>2020</v>
      </c>
    </row>
    <row r="112" spans="2:8">
      <c r="B112" s="347" t="s">
        <v>669</v>
      </c>
      <c r="C112" s="347">
        <v>39</v>
      </c>
      <c r="D112" s="348" t="s">
        <v>710</v>
      </c>
      <c r="E112" s="349">
        <v>90823.14</v>
      </c>
      <c r="F112" s="349">
        <v>538662.93999999994</v>
      </c>
      <c r="G112" s="349">
        <v>629486.07999999996</v>
      </c>
      <c r="H112" s="354">
        <v>2020</v>
      </c>
    </row>
    <row r="113" spans="2:8">
      <c r="B113" s="347" t="s">
        <v>678</v>
      </c>
      <c r="C113" s="347">
        <v>32</v>
      </c>
      <c r="D113" s="348" t="s">
        <v>710</v>
      </c>
      <c r="E113" s="349">
        <v>117907.07</v>
      </c>
      <c r="F113" s="349">
        <v>720406.34</v>
      </c>
      <c r="G113" s="349">
        <v>838313.41</v>
      </c>
      <c r="H113" s="354">
        <v>2020</v>
      </c>
    </row>
    <row r="114" spans="2:8">
      <c r="B114" s="347" t="s">
        <v>684</v>
      </c>
      <c r="C114" s="347">
        <v>27</v>
      </c>
      <c r="D114" s="348" t="s">
        <v>710</v>
      </c>
      <c r="E114" s="349">
        <v>103097.61</v>
      </c>
      <c r="F114" s="349">
        <v>797585.77</v>
      </c>
      <c r="G114" s="349">
        <v>900683.38</v>
      </c>
      <c r="H114" s="354">
        <v>2020</v>
      </c>
    </row>
    <row r="115" spans="2:8">
      <c r="B115" s="347" t="s">
        <v>693</v>
      </c>
      <c r="C115" s="347">
        <v>19</v>
      </c>
      <c r="D115" s="348" t="s">
        <v>710</v>
      </c>
      <c r="E115" s="349">
        <v>251377.14</v>
      </c>
      <c r="F115" s="349">
        <v>359644.75</v>
      </c>
      <c r="G115" s="349">
        <v>611021.89</v>
      </c>
      <c r="H115" s="354">
        <v>2020</v>
      </c>
    </row>
    <row r="116" spans="2:8">
      <c r="B116" s="347" t="s">
        <v>669</v>
      </c>
      <c r="C116" s="347">
        <v>40</v>
      </c>
      <c r="D116" s="348" t="s">
        <v>711</v>
      </c>
      <c r="E116" s="349">
        <v>91693.46</v>
      </c>
      <c r="F116" s="349">
        <v>537792.62</v>
      </c>
      <c r="G116" s="349">
        <v>629486.07999999996</v>
      </c>
      <c r="H116" s="354">
        <v>2020</v>
      </c>
    </row>
    <row r="117" spans="2:8">
      <c r="B117" s="347" t="s">
        <v>678</v>
      </c>
      <c r="C117" s="347">
        <v>33</v>
      </c>
      <c r="D117" s="348" t="s">
        <v>711</v>
      </c>
      <c r="E117" s="349">
        <v>119080.93</v>
      </c>
      <c r="F117" s="349">
        <v>719232.48</v>
      </c>
      <c r="G117" s="349">
        <v>838313.41</v>
      </c>
      <c r="H117" s="354">
        <v>2020</v>
      </c>
    </row>
    <row r="118" spans="2:8">
      <c r="B118" s="347" t="s">
        <v>684</v>
      </c>
      <c r="C118" s="347">
        <v>28</v>
      </c>
      <c r="D118" s="348" t="s">
        <v>711</v>
      </c>
      <c r="E118" s="349">
        <v>104274.23</v>
      </c>
      <c r="F118" s="349">
        <v>796409.15</v>
      </c>
      <c r="G118" s="349">
        <v>900683.38</v>
      </c>
      <c r="H118" s="354">
        <v>2020</v>
      </c>
    </row>
    <row r="119" spans="2:8">
      <c r="B119" s="347" t="s">
        <v>693</v>
      </c>
      <c r="C119" s="347">
        <v>20</v>
      </c>
      <c r="D119" s="348" t="s">
        <v>711</v>
      </c>
      <c r="E119" s="349">
        <v>252573.92</v>
      </c>
      <c r="F119" s="349">
        <v>358447.97</v>
      </c>
      <c r="G119" s="349">
        <v>611021.89</v>
      </c>
      <c r="H119" s="354">
        <v>2020</v>
      </c>
    </row>
    <row r="120" spans="2:8">
      <c r="B120" s="347" t="s">
        <v>669</v>
      </c>
      <c r="C120" s="347">
        <v>41</v>
      </c>
      <c r="D120" s="348" t="s">
        <v>712</v>
      </c>
      <c r="E120" s="349">
        <v>92572.11</v>
      </c>
      <c r="F120" s="349">
        <v>536913.97</v>
      </c>
      <c r="G120" s="349">
        <v>629486.07999999996</v>
      </c>
      <c r="H120" s="354">
        <v>2020</v>
      </c>
    </row>
    <row r="121" spans="2:8">
      <c r="B121" s="347" t="s">
        <v>678</v>
      </c>
      <c r="C121" s="347">
        <v>34</v>
      </c>
      <c r="D121" s="348" t="s">
        <v>712</v>
      </c>
      <c r="E121" s="349">
        <v>120266.47</v>
      </c>
      <c r="F121" s="349">
        <v>718046.94</v>
      </c>
      <c r="G121" s="349">
        <v>838313.41</v>
      </c>
      <c r="H121" s="354">
        <v>2020</v>
      </c>
    </row>
    <row r="122" spans="2:8">
      <c r="B122" s="347" t="s">
        <v>684</v>
      </c>
      <c r="C122" s="347">
        <v>29</v>
      </c>
      <c r="D122" s="348" t="s">
        <v>712</v>
      </c>
      <c r="E122" s="349">
        <v>105464.28</v>
      </c>
      <c r="F122" s="349">
        <v>795219.1</v>
      </c>
      <c r="G122" s="349">
        <v>900683.38</v>
      </c>
      <c r="H122" s="354">
        <v>2020</v>
      </c>
    </row>
    <row r="123" spans="2:8">
      <c r="B123" s="347" t="s">
        <v>693</v>
      </c>
      <c r="C123" s="347">
        <v>21</v>
      </c>
      <c r="D123" s="348" t="s">
        <v>712</v>
      </c>
      <c r="E123" s="349">
        <v>253776.4</v>
      </c>
      <c r="F123" s="349">
        <v>357245.49</v>
      </c>
      <c r="G123" s="349">
        <v>611021.89</v>
      </c>
      <c r="H123" s="354">
        <v>2020</v>
      </c>
    </row>
    <row r="124" spans="2:8">
      <c r="B124" s="347" t="s">
        <v>669</v>
      </c>
      <c r="C124" s="347">
        <v>42</v>
      </c>
      <c r="D124" s="348" t="s">
        <v>713</v>
      </c>
      <c r="E124" s="349">
        <v>93459.18</v>
      </c>
      <c r="F124" s="349">
        <v>536026.9</v>
      </c>
      <c r="G124" s="349">
        <v>629486.07999999996</v>
      </c>
      <c r="H124" s="354">
        <v>2020</v>
      </c>
    </row>
    <row r="125" spans="2:8">
      <c r="B125" s="347" t="s">
        <v>678</v>
      </c>
      <c r="C125" s="347">
        <v>35</v>
      </c>
      <c r="D125" s="348" t="s">
        <v>713</v>
      </c>
      <c r="E125" s="349">
        <v>121463.82</v>
      </c>
      <c r="F125" s="349">
        <v>716849.59</v>
      </c>
      <c r="G125" s="349">
        <v>838313.41</v>
      </c>
      <c r="H125" s="354">
        <v>2020</v>
      </c>
    </row>
    <row r="126" spans="2:8">
      <c r="B126" s="347" t="s">
        <v>684</v>
      </c>
      <c r="C126" s="347">
        <v>30</v>
      </c>
      <c r="D126" s="348" t="s">
        <v>713</v>
      </c>
      <c r="E126" s="349">
        <v>106667.91</v>
      </c>
      <c r="F126" s="349">
        <v>794015.47</v>
      </c>
      <c r="G126" s="349">
        <v>900683.38</v>
      </c>
      <c r="H126" s="354">
        <v>2020</v>
      </c>
    </row>
    <row r="127" spans="2:8">
      <c r="B127" s="347" t="s">
        <v>693</v>
      </c>
      <c r="C127" s="347">
        <v>22</v>
      </c>
      <c r="D127" s="348" t="s">
        <v>713</v>
      </c>
      <c r="E127" s="349">
        <v>254984.61</v>
      </c>
      <c r="F127" s="349">
        <v>356037.28</v>
      </c>
      <c r="G127" s="349">
        <v>611021.89</v>
      </c>
      <c r="H127" s="354">
        <v>2020</v>
      </c>
    </row>
    <row r="128" spans="2:8">
      <c r="B128" s="347" t="s">
        <v>669</v>
      </c>
      <c r="C128" s="347">
        <v>43</v>
      </c>
      <c r="D128" s="348" t="s">
        <v>714</v>
      </c>
      <c r="E128" s="349">
        <v>94354.76</v>
      </c>
      <c r="F128" s="349">
        <v>535131.31999999995</v>
      </c>
      <c r="G128" s="349">
        <v>629486.07999999996</v>
      </c>
      <c r="H128" s="354">
        <v>2020</v>
      </c>
    </row>
    <row r="129" spans="2:8">
      <c r="B129" s="347" t="s">
        <v>678</v>
      </c>
      <c r="C129" s="347">
        <v>36</v>
      </c>
      <c r="D129" s="348" t="s">
        <v>714</v>
      </c>
      <c r="E129" s="349">
        <v>122673.08</v>
      </c>
      <c r="F129" s="349">
        <v>715640.33</v>
      </c>
      <c r="G129" s="349">
        <v>838313.41</v>
      </c>
      <c r="H129" s="354">
        <v>2020</v>
      </c>
    </row>
    <row r="130" spans="2:8">
      <c r="B130" s="347" t="s">
        <v>684</v>
      </c>
      <c r="C130" s="347">
        <v>31</v>
      </c>
      <c r="D130" s="348" t="s">
        <v>714</v>
      </c>
      <c r="E130" s="349">
        <v>107885.27</v>
      </c>
      <c r="F130" s="349">
        <v>792798.11</v>
      </c>
      <c r="G130" s="349">
        <v>900683.38</v>
      </c>
      <c r="H130" s="354">
        <v>2020</v>
      </c>
    </row>
    <row r="131" spans="2:8">
      <c r="B131" s="347" t="s">
        <v>693</v>
      </c>
      <c r="C131" s="347">
        <v>23</v>
      </c>
      <c r="D131" s="348" t="s">
        <v>714</v>
      </c>
      <c r="E131" s="349">
        <v>256198.57</v>
      </c>
      <c r="F131" s="349">
        <v>354823.32</v>
      </c>
      <c r="G131" s="349">
        <v>611021.89</v>
      </c>
      <c r="H131" s="354">
        <v>2020</v>
      </c>
    </row>
    <row r="132" spans="2:8">
      <c r="B132" s="347" t="s">
        <v>669</v>
      </c>
      <c r="C132" s="347">
        <v>44</v>
      </c>
      <c r="D132" s="348" t="s">
        <v>715</v>
      </c>
      <c r="E132" s="349">
        <v>95258.91</v>
      </c>
      <c r="F132" s="349">
        <v>534227.17000000004</v>
      </c>
      <c r="G132" s="349">
        <v>629486.07999999996</v>
      </c>
      <c r="H132" s="354">
        <v>2020</v>
      </c>
    </row>
    <row r="133" spans="2:8">
      <c r="B133" s="347" t="s">
        <v>678</v>
      </c>
      <c r="C133" s="347">
        <v>37</v>
      </c>
      <c r="D133" s="348" t="s">
        <v>715</v>
      </c>
      <c r="E133" s="349">
        <v>123894.39</v>
      </c>
      <c r="F133" s="349">
        <v>714419.02</v>
      </c>
      <c r="G133" s="349">
        <v>838313.41</v>
      </c>
      <c r="H133" s="354">
        <v>2020</v>
      </c>
    </row>
    <row r="134" spans="2:8">
      <c r="B134" s="347" t="s">
        <v>684</v>
      </c>
      <c r="C134" s="347">
        <v>32</v>
      </c>
      <c r="D134" s="348" t="s">
        <v>715</v>
      </c>
      <c r="E134" s="349">
        <v>109116.53</v>
      </c>
      <c r="F134" s="349">
        <v>791566.85</v>
      </c>
      <c r="G134" s="349">
        <v>900683.38</v>
      </c>
      <c r="H134" s="354">
        <v>2020</v>
      </c>
    </row>
    <row r="135" spans="2:8">
      <c r="B135" s="347" t="s">
        <v>693</v>
      </c>
      <c r="C135" s="347">
        <v>24</v>
      </c>
      <c r="D135" s="348" t="s">
        <v>715</v>
      </c>
      <c r="E135" s="349">
        <v>257418.31</v>
      </c>
      <c r="F135" s="349">
        <v>353603.58</v>
      </c>
      <c r="G135" s="349">
        <v>611021.89</v>
      </c>
      <c r="H135" s="354">
        <v>2020</v>
      </c>
    </row>
    <row r="136" spans="2:8">
      <c r="B136" s="347" t="s">
        <v>669</v>
      </c>
      <c r="C136" s="347">
        <v>45</v>
      </c>
      <c r="D136" s="348" t="s">
        <v>716</v>
      </c>
      <c r="E136" s="349">
        <v>98795.13</v>
      </c>
      <c r="F136" s="349">
        <v>547862.21</v>
      </c>
      <c r="G136" s="349">
        <v>646657.34</v>
      </c>
      <c r="H136" s="354">
        <v>2020</v>
      </c>
    </row>
    <row r="137" spans="2:8">
      <c r="B137" s="347" t="s">
        <v>678</v>
      </c>
      <c r="C137" s="347">
        <v>38</v>
      </c>
      <c r="D137" s="348" t="s">
        <v>716</v>
      </c>
      <c r="E137" s="349">
        <v>128541.12</v>
      </c>
      <c r="F137" s="349">
        <v>732639.98</v>
      </c>
      <c r="G137" s="349">
        <v>861181.1</v>
      </c>
      <c r="H137" s="354">
        <v>2020</v>
      </c>
    </row>
    <row r="138" spans="2:8">
      <c r="B138" s="347" t="s">
        <v>684</v>
      </c>
      <c r="C138" s="347">
        <v>33</v>
      </c>
      <c r="D138" s="348" t="s">
        <v>716</v>
      </c>
      <c r="E138" s="349">
        <v>113372.32</v>
      </c>
      <c r="F138" s="349">
        <v>811880.09</v>
      </c>
      <c r="G138" s="349">
        <v>925252.41</v>
      </c>
      <c r="H138" s="354">
        <v>2020</v>
      </c>
    </row>
    <row r="139" spans="2:8">
      <c r="B139" s="347" t="s">
        <v>693</v>
      </c>
      <c r="C139" s="347">
        <v>25</v>
      </c>
      <c r="D139" s="348" t="s">
        <v>716</v>
      </c>
      <c r="E139" s="349">
        <v>265699.20000000001</v>
      </c>
      <c r="F139" s="349">
        <v>361990.28</v>
      </c>
      <c r="G139" s="349">
        <v>627689.48</v>
      </c>
      <c r="H139" s="354">
        <v>2020</v>
      </c>
    </row>
    <row r="140" spans="2:8">
      <c r="B140" s="347" t="s">
        <v>669</v>
      </c>
      <c r="C140" s="347">
        <v>46</v>
      </c>
      <c r="D140" s="348" t="s">
        <v>717</v>
      </c>
      <c r="E140" s="349">
        <v>99741.84</v>
      </c>
      <c r="F140" s="349">
        <v>546915.5</v>
      </c>
      <c r="G140" s="349">
        <v>646657.34</v>
      </c>
      <c r="H140" s="354">
        <v>2020</v>
      </c>
    </row>
    <row r="141" spans="2:8">
      <c r="B141" s="347" t="s">
        <v>678</v>
      </c>
      <c r="C141" s="347">
        <v>39</v>
      </c>
      <c r="D141" s="348" t="s">
        <v>717</v>
      </c>
      <c r="E141" s="349">
        <v>129820.84</v>
      </c>
      <c r="F141" s="349">
        <v>731360.26</v>
      </c>
      <c r="G141" s="349">
        <v>861181.1</v>
      </c>
      <c r="H141" s="354">
        <v>2020</v>
      </c>
    </row>
    <row r="142" spans="2:8">
      <c r="B142" s="347" t="s">
        <v>684</v>
      </c>
      <c r="C142" s="347">
        <v>34</v>
      </c>
      <c r="D142" s="348" t="s">
        <v>717</v>
      </c>
      <c r="E142" s="349">
        <v>114666.2</v>
      </c>
      <c r="F142" s="349">
        <v>810586.21</v>
      </c>
      <c r="G142" s="349">
        <v>925252.41</v>
      </c>
      <c r="H142" s="354">
        <v>2020</v>
      </c>
    </row>
    <row r="143" spans="2:8">
      <c r="B143" s="347" t="s">
        <v>693</v>
      </c>
      <c r="C143" s="347">
        <v>26</v>
      </c>
      <c r="D143" s="348" t="s">
        <v>717</v>
      </c>
      <c r="E143" s="349">
        <v>266964.18</v>
      </c>
      <c r="F143" s="349">
        <v>360725.3</v>
      </c>
      <c r="G143" s="349">
        <v>627689.48</v>
      </c>
      <c r="H143" s="354">
        <v>2020</v>
      </c>
    </row>
    <row r="144" spans="2:8">
      <c r="B144" s="347" t="s">
        <v>669</v>
      </c>
      <c r="C144" s="347">
        <v>47</v>
      </c>
      <c r="D144" s="348" t="s">
        <v>718</v>
      </c>
      <c r="E144" s="349">
        <v>100697.61</v>
      </c>
      <c r="F144" s="349">
        <v>545959.73</v>
      </c>
      <c r="G144" s="349">
        <v>646657.34</v>
      </c>
      <c r="H144" s="354">
        <v>2020</v>
      </c>
    </row>
    <row r="145" spans="2:13">
      <c r="B145" s="347" t="s">
        <v>678</v>
      </c>
      <c r="C145" s="347">
        <v>40</v>
      </c>
      <c r="D145" s="348" t="s">
        <v>718</v>
      </c>
      <c r="E145" s="349">
        <v>131113.31</v>
      </c>
      <c r="F145" s="349">
        <v>730067.79</v>
      </c>
      <c r="G145" s="349">
        <v>861181.1</v>
      </c>
      <c r="H145" s="354">
        <v>2020</v>
      </c>
    </row>
    <row r="146" spans="2:13">
      <c r="B146" s="347" t="s">
        <v>684</v>
      </c>
      <c r="C146" s="347">
        <v>35</v>
      </c>
      <c r="D146" s="348" t="s">
        <v>718</v>
      </c>
      <c r="E146" s="349">
        <v>115974.85</v>
      </c>
      <c r="F146" s="349">
        <v>809277.56</v>
      </c>
      <c r="G146" s="349">
        <v>925252.41</v>
      </c>
      <c r="H146" s="354">
        <v>2020</v>
      </c>
    </row>
    <row r="147" spans="2:13">
      <c r="B147" s="347" t="s">
        <v>693</v>
      </c>
      <c r="C147" s="347">
        <v>27</v>
      </c>
      <c r="D147" s="348" t="s">
        <v>718</v>
      </c>
      <c r="E147" s="349">
        <v>268235.17</v>
      </c>
      <c r="F147" s="349">
        <v>359454.31</v>
      </c>
      <c r="G147" s="349">
        <v>627689.48</v>
      </c>
      <c r="H147" s="354">
        <v>2020</v>
      </c>
    </row>
    <row r="148" spans="2:13">
      <c r="B148" s="347" t="s">
        <v>669</v>
      </c>
      <c r="C148" s="347">
        <v>48</v>
      </c>
      <c r="D148" s="348" t="s">
        <v>719</v>
      </c>
      <c r="E148" s="349">
        <v>101662.55</v>
      </c>
      <c r="F148" s="349">
        <v>544994.79</v>
      </c>
      <c r="G148" s="349">
        <v>646657.34</v>
      </c>
      <c r="H148" s="354">
        <v>2020</v>
      </c>
    </row>
    <row r="149" spans="2:13">
      <c r="B149" s="347" t="s">
        <v>678</v>
      </c>
      <c r="C149" s="347">
        <v>41</v>
      </c>
      <c r="D149" s="348" t="s">
        <v>719</v>
      </c>
      <c r="E149" s="349">
        <v>132418.64000000001</v>
      </c>
      <c r="F149" s="349">
        <v>728762.46</v>
      </c>
      <c r="G149" s="349">
        <v>861181.1</v>
      </c>
      <c r="H149" s="354">
        <v>2020</v>
      </c>
    </row>
    <row r="150" spans="2:13">
      <c r="B150" s="347" t="s">
        <v>684</v>
      </c>
      <c r="C150" s="347">
        <v>36</v>
      </c>
      <c r="D150" s="348" t="s">
        <v>719</v>
      </c>
      <c r="E150" s="349">
        <v>117298.43</v>
      </c>
      <c r="F150" s="349">
        <v>807953.98</v>
      </c>
      <c r="G150" s="349">
        <v>925252.41</v>
      </c>
      <c r="H150" s="354">
        <v>2020</v>
      </c>
    </row>
    <row r="151" spans="2:13">
      <c r="B151" s="347" t="s">
        <v>693</v>
      </c>
      <c r="C151" s="347">
        <v>28</v>
      </c>
      <c r="D151" s="348" t="s">
        <v>719</v>
      </c>
      <c r="E151" s="349">
        <v>269512.21000000002</v>
      </c>
      <c r="F151" s="349">
        <v>358177.27</v>
      </c>
      <c r="G151" s="349">
        <v>627689.48</v>
      </c>
      <c r="H151" s="354">
        <v>2020</v>
      </c>
    </row>
    <row r="152" spans="2:13">
      <c r="G152" s="352"/>
      <c r="I152" s="342"/>
      <c r="J152" s="353"/>
      <c r="K152" s="353"/>
      <c r="L152" s="353"/>
      <c r="M152" s="353"/>
    </row>
    <row r="153" spans="2:13">
      <c r="G153" s="352"/>
      <c r="I153" s="342"/>
      <c r="J153" s="353"/>
      <c r="K153" s="353"/>
      <c r="L153" s="353"/>
      <c r="M153" s="353"/>
    </row>
    <row r="154" spans="2:13">
      <c r="G154" s="352"/>
      <c r="I154" s="342"/>
      <c r="J154" s="353"/>
      <c r="K154" s="353"/>
      <c r="L154" s="353"/>
      <c r="M154" s="353"/>
    </row>
    <row r="155" spans="2:13">
      <c r="G155" s="352"/>
      <c r="I155" s="342"/>
      <c r="J155" s="353"/>
      <c r="K155" s="353"/>
      <c r="L155" s="353"/>
      <c r="M155" s="353"/>
    </row>
    <row r="156" spans="2:13">
      <c r="G156" s="352"/>
      <c r="I156" s="342"/>
      <c r="J156" s="353"/>
      <c r="K156" s="353"/>
      <c r="L156" s="353"/>
      <c r="M156" s="353"/>
    </row>
    <row r="188" spans="7:7">
      <c r="G188" s="329">
        <f>G185-G181</f>
        <v>0</v>
      </c>
    </row>
  </sheetData>
  <autoFilter ref="B2:G15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>
      <pane ySplit="4" topLeftCell="A5" activePane="bottomLeft" state="frozen"/>
      <selection pane="bottomLeft" activeCell="J6" sqref="J6"/>
    </sheetView>
  </sheetViews>
  <sheetFormatPr defaultColWidth="9.140625" defaultRowHeight="15"/>
  <cols>
    <col min="1" max="2" width="1.7109375" style="259" customWidth="1"/>
    <col min="3" max="6" width="18.140625" customWidth="1"/>
    <col min="8" max="8" width="13.28515625" customWidth="1"/>
    <col min="9" max="9" width="8.7109375" customWidth="1"/>
    <col min="10" max="10" width="15.140625" customWidth="1"/>
    <col min="12" max="12" width="13.28515625" customWidth="1"/>
  </cols>
  <sheetData>
    <row r="1" spans="1:10">
      <c r="C1" s="374" t="s">
        <v>280</v>
      </c>
      <c r="D1" s="374"/>
      <c r="E1" s="374"/>
      <c r="F1" s="374"/>
    </row>
    <row r="2" spans="1:10" ht="15.75" thickBot="1">
      <c r="C2" s="375"/>
      <c r="D2" s="375"/>
      <c r="E2" s="375"/>
      <c r="F2" s="375"/>
    </row>
    <row r="3" spans="1:10" ht="15" customHeight="1">
      <c r="C3" s="260" t="s">
        <v>281</v>
      </c>
      <c r="D3" s="261" t="s">
        <v>282</v>
      </c>
      <c r="E3" s="261" t="s">
        <v>283</v>
      </c>
      <c r="F3" s="262" t="s">
        <v>284</v>
      </c>
    </row>
    <row r="4" spans="1:10" ht="15.75" thickBot="1">
      <c r="C4" s="263"/>
      <c r="D4" s="264"/>
      <c r="E4" s="264"/>
      <c r="F4" s="265"/>
    </row>
    <row r="5" spans="1:10">
      <c r="A5" s="259" t="e">
        <f>IF(C5&lt;EOMONTH(#REF!,-1),0,IF(C5&gt;EOMONTH(#REF!,10),2,1))</f>
        <v>#REF!</v>
      </c>
      <c r="B5" s="266">
        <f t="shared" ref="B5:B52" si="0">YEAR(C5)</f>
        <v>2021</v>
      </c>
      <c r="C5" s="267">
        <v>44227</v>
      </c>
      <c r="D5" s="268">
        <v>630764.33716082934</v>
      </c>
      <c r="E5" s="268">
        <v>2430015.975800287</v>
      </c>
      <c r="F5" s="269">
        <v>3060780.3129611164</v>
      </c>
      <c r="I5" s="278" t="s">
        <v>290</v>
      </c>
      <c r="J5" s="278" t="s">
        <v>291</v>
      </c>
    </row>
    <row r="6" spans="1:10">
      <c r="A6" s="259" t="e">
        <f>IF(C6&lt;EOMONTH(#REF!,-1),0,IF(C6&gt;EOMONTH(#REF!,10),2,1))</f>
        <v>#REF!</v>
      </c>
      <c r="B6" s="266">
        <f t="shared" si="0"/>
        <v>2021</v>
      </c>
      <c r="C6" s="267">
        <v>44255</v>
      </c>
      <c r="D6" s="268">
        <v>635766.78</v>
      </c>
      <c r="E6" s="268">
        <v>2425013.5336096874</v>
      </c>
      <c r="F6" s="269">
        <v>3060780.3136096876</v>
      </c>
      <c r="I6" s="279">
        <v>2021</v>
      </c>
      <c r="J6" s="280">
        <f>SUM(F5:F16)</f>
        <v>38227958.623751163</v>
      </c>
    </row>
    <row r="7" spans="1:10">
      <c r="A7" s="259" t="e">
        <f>IF(C7&lt;EOMONTH(#REF!,-1),0,IF(C7&gt;EOMONTH(#REF!,10),2,1))</f>
        <v>#REF!</v>
      </c>
      <c r="B7" s="266">
        <f t="shared" si="0"/>
        <v>2021</v>
      </c>
      <c r="C7" s="267">
        <v>44286</v>
      </c>
      <c r="D7" s="268">
        <v>640813.91997533478</v>
      </c>
      <c r="E7" s="268">
        <v>2419966.3929906772</v>
      </c>
      <c r="F7" s="269">
        <v>3060780.3129660119</v>
      </c>
      <c r="I7" s="279">
        <v>2022</v>
      </c>
      <c r="J7" s="280">
        <f>SUM(F17:F28)</f>
        <v>40325991.44416628</v>
      </c>
    </row>
    <row r="8" spans="1:10">
      <c r="A8" s="259" t="e">
        <f>IF(C8&lt;EOMONTH(#REF!,-1),0,IF(C8&gt;EOMONTH(#REF!,10),2,1))</f>
        <v>#REF!</v>
      </c>
      <c r="B8" s="266">
        <f t="shared" si="0"/>
        <v>2021</v>
      </c>
      <c r="C8" s="267">
        <v>44316</v>
      </c>
      <c r="D8" s="268">
        <v>645906.19932879275</v>
      </c>
      <c r="E8" s="268">
        <v>2414874.1136396741</v>
      </c>
      <c r="F8" s="269">
        <v>3060780.3129684669</v>
      </c>
      <c r="I8" s="279">
        <v>2023</v>
      </c>
      <c r="J8" s="280">
        <f>SUM(F29:F40)</f>
        <v>40325991.444536403</v>
      </c>
    </row>
    <row r="9" spans="1:10">
      <c r="A9" s="259" t="e">
        <f>IF(C9&lt;EOMONTH(#REF!,-1),0,IF(C9&gt;EOMONTH(#REF!,10),2,1))</f>
        <v>#REF!</v>
      </c>
      <c r="B9" s="266">
        <f t="shared" si="0"/>
        <v>2021</v>
      </c>
      <c r="C9" s="267">
        <v>44347</v>
      </c>
      <c r="D9" s="268">
        <v>651044.04161588592</v>
      </c>
      <c r="E9" s="268">
        <v>2409736.2713550399</v>
      </c>
      <c r="F9" s="269">
        <v>3060780.3129709261</v>
      </c>
      <c r="I9" s="279">
        <v>2024</v>
      </c>
      <c r="J9" s="280">
        <f>SUM(F41:F52)</f>
        <v>40325991.444918543</v>
      </c>
    </row>
    <row r="10" spans="1:10">
      <c r="A10" s="259" t="e">
        <f>IF(C10&lt;EOMONTH(#REF!,-1),0,IF(C10&gt;EOMONTH(#REF!,10),2,1))</f>
        <v>#REF!</v>
      </c>
      <c r="B10" s="266">
        <f t="shared" si="0"/>
        <v>2021</v>
      </c>
      <c r="C10" s="267">
        <v>44377</v>
      </c>
      <c r="D10" s="268">
        <v>656227.88497633254</v>
      </c>
      <c r="E10" s="268">
        <v>2404552.4279970578</v>
      </c>
      <c r="F10" s="269">
        <v>3060780.3129733903</v>
      </c>
    </row>
    <row r="11" spans="1:10">
      <c r="A11" s="259" t="e">
        <f>IF(C11&lt;EOMONTH(#REF!,-1),0,IF(C11&gt;EOMONTH(#REF!,10),2,1))</f>
        <v>#REF!</v>
      </c>
      <c r="B11" s="266">
        <f t="shared" si="0"/>
        <v>2021</v>
      </c>
      <c r="C11" s="267">
        <v>44408</v>
      </c>
      <c r="D11" s="268">
        <v>661458.19152837445</v>
      </c>
      <c r="E11" s="268">
        <v>2399322.1214474849</v>
      </c>
      <c r="F11" s="269">
        <v>3060780.3129758593</v>
      </c>
    </row>
    <row r="12" spans="1:10">
      <c r="A12" s="259" t="e">
        <f>IF(C12&lt;EOMONTH(#REF!,-1),0,IF(C12&gt;EOMONTH(#REF!,10),2,1))</f>
        <v>#REF!</v>
      </c>
      <c r="B12" s="266">
        <f t="shared" si="0"/>
        <v>2021</v>
      </c>
      <c r="C12" s="267">
        <v>44439</v>
      </c>
      <c r="D12" s="268">
        <v>666735.39740964188</v>
      </c>
      <c r="E12" s="268">
        <v>2394044.9155686912</v>
      </c>
      <c r="F12" s="269">
        <v>3060780.3129783329</v>
      </c>
    </row>
    <row r="13" spans="1:10">
      <c r="A13" s="259" t="e">
        <f>IF(C13&lt;EOMONTH(#REF!,-1),0,IF(C13&gt;EOMONTH(#REF!,10),2,1))</f>
        <v>#REF!</v>
      </c>
      <c r="B13" s="266">
        <f t="shared" si="0"/>
        <v>2021</v>
      </c>
      <c r="C13" s="267">
        <v>44469</v>
      </c>
      <c r="D13" s="268">
        <v>672059.96281844564</v>
      </c>
      <c r="E13" s="268">
        <v>2388720.3501623669</v>
      </c>
      <c r="F13" s="269">
        <v>3060780.3129808125</v>
      </c>
    </row>
    <row r="14" spans="1:10">
      <c r="A14" s="259" t="e">
        <f>IF(C14&lt;EOMONTH(#REF!,-1),0,IF(C14&gt;EOMONTH(#REF!,10),2,1))</f>
        <v>#REF!</v>
      </c>
      <c r="B14" s="266">
        <f t="shared" si="0"/>
        <v>2021</v>
      </c>
      <c r="C14" s="267">
        <v>44500</v>
      </c>
      <c r="D14" s="268">
        <v>677432.34205549979</v>
      </c>
      <c r="E14" s="268">
        <v>2383347.9709277968</v>
      </c>
      <c r="F14" s="269">
        <v>3060780.3129832968</v>
      </c>
    </row>
    <row r="15" spans="1:10">
      <c r="A15" s="259" t="e">
        <f>IF(C15&lt;EOMONTH(#REF!,-1),0,IF(C15&gt;EOMONTH(#REF!,10),2,1))</f>
        <v>#REF!</v>
      </c>
      <c r="B15" s="266">
        <f t="shared" si="0"/>
        <v>2021</v>
      </c>
      <c r="C15" s="267">
        <v>44530</v>
      </c>
      <c r="D15" s="268">
        <v>682853.00356608094</v>
      </c>
      <c r="E15" s="268">
        <v>2377927.3094197046</v>
      </c>
      <c r="F15" s="269">
        <v>3060780.3129857853</v>
      </c>
    </row>
    <row r="16" spans="1:10">
      <c r="A16" s="259" t="e">
        <f>IF(C16&lt;EOMONTH(#REF!,-1),0,IF(C16&gt;EOMONTH(#REF!,10),2,1))</f>
        <v>#REF!</v>
      </c>
      <c r="B16" s="266">
        <f t="shared" si="0"/>
        <v>2021</v>
      </c>
      <c r="C16" s="267">
        <v>44561</v>
      </c>
      <c r="D16" s="268">
        <v>1020025.0550769988</v>
      </c>
      <c r="E16" s="268">
        <v>3539350.1253204779</v>
      </c>
      <c r="F16" s="269">
        <v>4559375.180397477</v>
      </c>
    </row>
    <row r="17" spans="1:6">
      <c r="A17" s="259" t="e">
        <f>IF(C17&lt;EOMONTH(#REF!,-1),0,IF(C17&gt;EOMONTH(#REF!,10),2,1))</f>
        <v>#REF!</v>
      </c>
      <c r="B17" s="266">
        <f t="shared" si="0"/>
        <v>2022</v>
      </c>
      <c r="C17" s="267">
        <v>44592</v>
      </c>
      <c r="D17" s="268">
        <v>761783.63799545681</v>
      </c>
      <c r="E17" s="268">
        <v>2598715.6490045199</v>
      </c>
      <c r="F17" s="269">
        <v>3360499.2869999767</v>
      </c>
    </row>
    <row r="18" spans="1:6">
      <c r="A18" s="259" t="e">
        <f>IF(C18&lt;EOMONTH(#REF!,-1),0,IF(C18&gt;EOMONTH(#REF!,10),2,1))</f>
        <v>#REF!</v>
      </c>
      <c r="B18" s="266">
        <f t="shared" si="0"/>
        <v>2022</v>
      </c>
      <c r="C18" s="267">
        <v>44620</v>
      </c>
      <c r="D18" s="268">
        <v>767897.23404696584</v>
      </c>
      <c r="E18" s="268">
        <v>2592602.0529555157</v>
      </c>
      <c r="F18" s="269">
        <v>3360499.2870024815</v>
      </c>
    </row>
    <row r="19" spans="1:6">
      <c r="A19" s="259" t="e">
        <f>IF(C19&lt;EOMONTH(#REF!,-1),0,IF(C19&gt;EOMONTH(#REF!,10),2,1))</f>
        <v>#REF!</v>
      </c>
      <c r="B19" s="266">
        <f t="shared" si="0"/>
        <v>2022</v>
      </c>
      <c r="C19" s="267">
        <v>44651</v>
      </c>
      <c r="D19" s="268">
        <v>774065.93257296947</v>
      </c>
      <c r="E19" s="268">
        <v>2586433.3544320227</v>
      </c>
      <c r="F19" s="269">
        <v>3360499.2870049924</v>
      </c>
    </row>
    <row r="20" spans="1:6">
      <c r="A20" s="259" t="e">
        <f>IF(C20&lt;EOMONTH(#REF!,-1),0,IF(C20&gt;EOMONTH(#REF!,10),2,1))</f>
        <v>#REF!</v>
      </c>
      <c r="B20" s="266">
        <f t="shared" si="0"/>
        <v>2022</v>
      </c>
      <c r="C20" s="267">
        <v>44681</v>
      </c>
      <c r="D20" s="268">
        <v>780290.27115713945</v>
      </c>
      <c r="E20" s="268">
        <v>2580209.0158503689</v>
      </c>
      <c r="F20" s="269">
        <v>3360499.2870075083</v>
      </c>
    </row>
    <row r="21" spans="1:6">
      <c r="A21" s="259" t="e">
        <f>IF(C21&lt;EOMONTH(#REF!,-1),0,IF(C21&gt;EOMONTH(#REF!,10),2,1))</f>
        <v>#REF!</v>
      </c>
      <c r="B21" s="266">
        <f t="shared" si="0"/>
        <v>2022</v>
      </c>
      <c r="C21" s="267">
        <v>44712</v>
      </c>
      <c r="D21" s="268">
        <v>786570.77227524784</v>
      </c>
      <c r="E21" s="268">
        <v>2573928.5147347813</v>
      </c>
      <c r="F21" s="269">
        <v>3360499.287010029</v>
      </c>
    </row>
    <row r="22" spans="1:6">
      <c r="A22" s="259" t="e">
        <f>IF(C22&lt;EOMONTH(#REF!,-1),0,IF(C22&gt;EOMONTH(#REF!,10),2,1))</f>
        <v>#REF!</v>
      </c>
      <c r="B22" s="266">
        <f t="shared" si="0"/>
        <v>2022</v>
      </c>
      <c r="C22" s="267">
        <v>44742</v>
      </c>
      <c r="D22" s="268">
        <v>792908.00334555819</v>
      </c>
      <c r="E22" s="268">
        <v>2567591.2836669986</v>
      </c>
      <c r="F22" s="269">
        <v>3360499.2870125566</v>
      </c>
    </row>
    <row r="23" spans="1:6">
      <c r="A23" s="259" t="e">
        <f>IF(C23&lt;EOMONTH(#REF!,-1),0,IF(C23&gt;EOMONTH(#REF!,10),2,1))</f>
        <v>#REF!</v>
      </c>
      <c r="B23" s="266">
        <f t="shared" si="0"/>
        <v>2022</v>
      </c>
      <c r="C23" s="267">
        <v>44773</v>
      </c>
      <c r="D23" s="268">
        <v>799302.50677974545</v>
      </c>
      <c r="E23" s="268">
        <v>2561196.7802353445</v>
      </c>
      <c r="F23" s="269">
        <v>3360499.2870150898</v>
      </c>
    </row>
    <row r="24" spans="1:6">
      <c r="A24" s="259" t="e">
        <f>IF(C24&lt;EOMONTH(#REF!,-1),0,IF(C24&gt;EOMONTH(#REF!,10),2,1))</f>
        <v>#REF!</v>
      </c>
      <c r="B24" s="266">
        <f t="shared" si="0"/>
        <v>2022</v>
      </c>
      <c r="C24" s="267">
        <v>44804</v>
      </c>
      <c r="D24" s="268">
        <v>805754.84003434819</v>
      </c>
      <c r="E24" s="268">
        <v>2554744.4469832801</v>
      </c>
      <c r="F24" s="269">
        <v>3360499.2870176286</v>
      </c>
    </row>
    <row r="25" spans="1:6">
      <c r="A25" s="259" t="e">
        <f>IF(C25&lt;EOMONTH(#REF!,-1),0,IF(C25&gt;EOMONTH(#REF!,10),2,1))</f>
        <v>#REF!</v>
      </c>
      <c r="B25" s="266">
        <f t="shared" si="0"/>
        <v>2022</v>
      </c>
      <c r="C25" s="267">
        <v>44834</v>
      </c>
      <c r="D25" s="268">
        <v>812265.56566276064</v>
      </c>
      <c r="E25" s="268">
        <v>2548233.7213574126</v>
      </c>
      <c r="F25" s="269">
        <v>3360499.2870201734</v>
      </c>
    </row>
    <row r="26" spans="1:6">
      <c r="A26" s="259" t="e">
        <f>IF(C26&lt;EOMONTH(#REF!,-1),0,IF(C26&gt;EOMONTH(#REF!,10),2,1))</f>
        <v>#REF!</v>
      </c>
      <c r="B26" s="266">
        <f t="shared" si="0"/>
        <v>2022</v>
      </c>
      <c r="C26" s="267">
        <v>44865</v>
      </c>
      <c r="D26" s="268">
        <v>818835.25136776571</v>
      </c>
      <c r="E26" s="268">
        <v>2541664.0356549574</v>
      </c>
      <c r="F26" s="269">
        <v>3360499.2870227229</v>
      </c>
    </row>
    <row r="27" spans="1:6">
      <c r="A27" s="259" t="e">
        <f>IF(C27&lt;EOMONTH(#REF!,-1),0,IF(C27&gt;EOMONTH(#REF!,10),2,1))</f>
        <v>#REF!</v>
      </c>
      <c r="B27" s="266">
        <f t="shared" si="0"/>
        <v>2022</v>
      </c>
      <c r="C27" s="267">
        <v>44895</v>
      </c>
      <c r="D27" s="268">
        <v>825464.48005462321</v>
      </c>
      <c r="E27" s="268">
        <v>2535034.8069706568</v>
      </c>
      <c r="F27" s="269">
        <v>3360499.2870252803</v>
      </c>
    </row>
    <row r="28" spans="1:6">
      <c r="A28" s="259" t="e">
        <f>IF(C28&lt;EOMONTH(#REF!,-1),0,IF(C28&gt;EOMONTH(#REF!,10),2,1))</f>
        <v>#REF!</v>
      </c>
      <c r="B28" s="266">
        <f t="shared" si="0"/>
        <v>2022</v>
      </c>
      <c r="C28" s="267">
        <v>44926</v>
      </c>
      <c r="D28" s="268">
        <v>832153.829884707</v>
      </c>
      <c r="E28" s="268">
        <v>2528345.4571431358</v>
      </c>
      <c r="F28" s="269">
        <v>3360499.2870278428</v>
      </c>
    </row>
    <row r="29" spans="1:6">
      <c r="A29" s="259" t="e">
        <f>IF(C29&lt;EOMONTH(#REF!,-1),0,IF(C29&gt;EOMONTH(#REF!,10),2,1))</f>
        <v>#REF!</v>
      </c>
      <c r="B29" s="266">
        <f t="shared" si="0"/>
        <v>2023</v>
      </c>
      <c r="C29" s="267">
        <v>44957</v>
      </c>
      <c r="D29" s="268">
        <v>838903.87432971131</v>
      </c>
      <c r="E29" s="268">
        <v>2521595.4127007015</v>
      </c>
      <c r="F29" s="269">
        <v>3360499.2870304128</v>
      </c>
    </row>
    <row r="30" spans="1:6">
      <c r="A30" s="259" t="e">
        <f>IF(C30&lt;EOMONTH(#REF!,-1),0,IF(C30&gt;EOMONTH(#REF!,10),2,1))</f>
        <v>#REF!</v>
      </c>
      <c r="B30" s="266">
        <f t="shared" si="0"/>
        <v>2023</v>
      </c>
      <c r="C30" s="267">
        <v>44985</v>
      </c>
      <c r="D30" s="268">
        <v>845715.22222641879</v>
      </c>
      <c r="E30" s="268">
        <v>2514784.0648065694</v>
      </c>
      <c r="F30" s="269">
        <v>3360499.2870329879</v>
      </c>
    </row>
    <row r="31" spans="1:6">
      <c r="A31" s="259" t="e">
        <f>IF(C31&lt;EOMONTH(#REF!,-1),0,IF(C31&gt;EOMONTH(#REF!,10),2,1))</f>
        <v>#REF!</v>
      </c>
      <c r="B31" s="266">
        <f t="shared" si="0"/>
        <v>2023</v>
      </c>
      <c r="C31" s="267">
        <v>45016</v>
      </c>
      <c r="D31" s="268">
        <v>852588.47783204447</v>
      </c>
      <c r="E31" s="268">
        <v>2507910.8092035255</v>
      </c>
      <c r="F31" s="269">
        <v>3360499.28703557</v>
      </c>
    </row>
    <row r="32" spans="1:6">
      <c r="A32" s="259" t="e">
        <f>IF(C32&lt;EOMONTH(#REF!,-1),0,IF(C32&gt;EOMONTH(#REF!,10),2,1))</f>
        <v>#REF!</v>
      </c>
      <c r="B32" s="266">
        <f t="shared" si="0"/>
        <v>2023</v>
      </c>
      <c r="C32" s="267">
        <v>45046</v>
      </c>
      <c r="D32" s="268">
        <v>859524.22088015964</v>
      </c>
      <c r="E32" s="268">
        <v>2500975.0661579985</v>
      </c>
      <c r="F32" s="269">
        <v>3360499.2870381582</v>
      </c>
    </row>
    <row r="33" spans="1:6">
      <c r="A33" s="259" t="e">
        <f>IF(C33&lt;EOMONTH(#REF!,-1),0,IF(C33&gt;EOMONTH(#REF!,10),2,1))</f>
        <v>#REF!</v>
      </c>
      <c r="B33" s="266">
        <f t="shared" si="0"/>
        <v>2023</v>
      </c>
      <c r="C33" s="267">
        <v>45077</v>
      </c>
      <c r="D33" s="268">
        <v>866523.07663720171</v>
      </c>
      <c r="E33" s="268">
        <v>2493976.2104035518</v>
      </c>
      <c r="F33" s="269">
        <v>3360499.2870407533</v>
      </c>
    </row>
    <row r="34" spans="1:6">
      <c r="A34" s="259" t="e">
        <f>IF(C34&lt;EOMONTH(#REF!,-1),0,IF(C34&gt;EOMONTH(#REF!,10),2,1))</f>
        <v>#REF!</v>
      </c>
      <c r="B34" s="266">
        <f t="shared" si="0"/>
        <v>2023</v>
      </c>
      <c r="C34" s="267">
        <v>45107</v>
      </c>
      <c r="D34" s="268">
        <v>873585.66595957417</v>
      </c>
      <c r="E34" s="268">
        <v>2486913.6210837821</v>
      </c>
      <c r="F34" s="269">
        <v>3360499.2870433563</v>
      </c>
    </row>
    <row r="35" spans="1:6">
      <c r="A35" s="259" t="e">
        <f>IF(C35&lt;EOMONTH(#REF!,-1),0,IF(C35&gt;EOMONTH(#REF!,10),2,1))</f>
        <v>#REF!</v>
      </c>
      <c r="B35" s="266">
        <f t="shared" si="0"/>
        <v>2023</v>
      </c>
      <c r="C35" s="267">
        <v>45138</v>
      </c>
      <c r="D35" s="268">
        <v>880712.61535134725</v>
      </c>
      <c r="E35" s="268">
        <v>2479786.6716946173</v>
      </c>
      <c r="F35" s="269">
        <v>3360499.2870459645</v>
      </c>
    </row>
    <row r="36" spans="1:6">
      <c r="A36" s="259" t="e">
        <f>IF(C36&lt;EOMONTH(#REF!,-1),0,IF(C36&gt;EOMONTH(#REF!,10),2,1))</f>
        <v>#REF!</v>
      </c>
      <c r="B36" s="266">
        <f t="shared" si="0"/>
        <v>2023</v>
      </c>
      <c r="C36" s="267">
        <v>45169</v>
      </c>
      <c r="D36" s="268">
        <v>887904.53702256246</v>
      </c>
      <c r="E36" s="268">
        <v>2472594.7500260179</v>
      </c>
      <c r="F36" s="269">
        <v>3360499.2870485801</v>
      </c>
    </row>
    <row r="37" spans="1:6">
      <c r="A37" s="259" t="e">
        <f>IF(C37&lt;EOMONTH(#REF!,-1),0,IF(C37&gt;EOMONTH(#REF!,10),2,1))</f>
        <v>#REF!</v>
      </c>
      <c r="B37" s="266">
        <f t="shared" si="0"/>
        <v>2023</v>
      </c>
      <c r="C37" s="267">
        <v>45199</v>
      </c>
      <c r="D37" s="268">
        <v>895162.07894814597</v>
      </c>
      <c r="E37" s="268">
        <v>2465337.2081030575</v>
      </c>
      <c r="F37" s="269">
        <v>3360499.2870512037</v>
      </c>
    </row>
    <row r="38" spans="1:6">
      <c r="A38" s="259" t="e">
        <f>IF(C38&lt;EOMONTH(#REF!,-1),0,IF(C38&gt;EOMONTH(#REF!,10),2,1))</f>
        <v>#REF!</v>
      </c>
      <c r="B38" s="266">
        <f t="shared" si="0"/>
        <v>2023</v>
      </c>
      <c r="C38" s="267">
        <v>45230</v>
      </c>
      <c r="D38" s="268">
        <v>902485.88492744369</v>
      </c>
      <c r="E38" s="268">
        <v>2458013.40212639</v>
      </c>
      <c r="F38" s="269">
        <v>3360499.2870538337</v>
      </c>
    </row>
    <row r="39" spans="1:6">
      <c r="A39" s="259" t="e">
        <f>IF(C39&lt;EOMONTH(#REF!,-1),0,IF(C39&gt;EOMONTH(#REF!,10),2,1))</f>
        <v>#REF!</v>
      </c>
      <c r="B39" s="266">
        <f t="shared" si="0"/>
        <v>2023</v>
      </c>
      <c r="C39" s="267">
        <v>45260</v>
      </c>
      <c r="D39" s="268">
        <v>909876.59464437584</v>
      </c>
      <c r="E39" s="268">
        <v>2450622.6924120951</v>
      </c>
      <c r="F39" s="269">
        <v>3360499.2870564712</v>
      </c>
    </row>
    <row r="40" spans="1:6">
      <c r="A40" s="259" t="e">
        <f>IF(C40&lt;EOMONTH(#REF!,-1),0,IF(C40&gt;EOMONTH(#REF!,10),2,1))</f>
        <v>#REF!</v>
      </c>
      <c r="B40" s="266">
        <f t="shared" si="0"/>
        <v>2023</v>
      </c>
      <c r="C40" s="267">
        <v>45291</v>
      </c>
      <c r="D40" s="268">
        <v>917334.87372822617</v>
      </c>
      <c r="E40" s="268">
        <v>2443164.4133308893</v>
      </c>
      <c r="F40" s="269">
        <v>3360499.2870591152</v>
      </c>
    </row>
    <row r="41" spans="1:6">
      <c r="A41" s="259" t="e">
        <f>IF(C41&lt;EOMONTH(#REF!,-1),0,IF(C41&gt;EOMONTH(#REF!,10),2,1))</f>
        <v>#REF!</v>
      </c>
      <c r="B41" s="266">
        <f t="shared" si="0"/>
        <v>2024</v>
      </c>
      <c r="C41" s="267">
        <v>45322</v>
      </c>
      <c r="D41" s="268">
        <v>924861.38381506479</v>
      </c>
      <c r="E41" s="268">
        <v>2435637.9032467031</v>
      </c>
      <c r="F41" s="269">
        <v>3360499.2870617677</v>
      </c>
    </row>
    <row r="42" spans="1:6">
      <c r="A42" s="259" t="e">
        <f>IF(C42&lt;EOMONTH(#REF!,-1),0,IF(C42&gt;EOMONTH(#REF!,10),2,1))</f>
        <v>#REF!</v>
      </c>
      <c r="B42" s="266">
        <f t="shared" si="0"/>
        <v>2024</v>
      </c>
      <c r="C42" s="267">
        <v>45351</v>
      </c>
      <c r="D42" s="268">
        <v>932456.79260981851</v>
      </c>
      <c r="E42" s="268">
        <v>2428042.4944546097</v>
      </c>
      <c r="F42" s="269">
        <v>3360499.2870644284</v>
      </c>
    </row>
    <row r="43" spans="1:6">
      <c r="A43" s="259" t="e">
        <f>IF(C43&lt;EOMONTH(#REF!,-1),0,IF(C43&gt;EOMONTH(#REF!,10),2,1))</f>
        <v>#REF!</v>
      </c>
      <c r="B43" s="266">
        <f t="shared" si="0"/>
        <v>2024</v>
      </c>
      <c r="C43" s="267">
        <v>45382</v>
      </c>
      <c r="D43" s="268">
        <v>940121.78394898935</v>
      </c>
      <c r="E43" s="268">
        <v>2420377.5031181062</v>
      </c>
      <c r="F43" s="269">
        <v>3360499.2870670957</v>
      </c>
    </row>
    <row r="44" spans="1:6">
      <c r="A44" s="259" t="e">
        <f>IF(C44&lt;EOMONTH(#REF!,-1),0,IF(C44&gt;EOMONTH(#REF!,10),2,1))</f>
        <v>#REF!</v>
      </c>
      <c r="B44" s="266">
        <f t="shared" si="0"/>
        <v>2024</v>
      </c>
      <c r="C44" s="267">
        <v>45412</v>
      </c>
      <c r="D44" s="268">
        <v>947857.01786403265</v>
      </c>
      <c r="E44" s="268">
        <v>2412642.2692057393</v>
      </c>
      <c r="F44" s="269">
        <v>3360499.2870697719</v>
      </c>
    </row>
    <row r="45" spans="1:6">
      <c r="A45" s="259" t="e">
        <f>IF(C45&lt;EOMONTH(#REF!,-1),0,IF(C45&gt;EOMONTH(#REF!,10),2,1))</f>
        <v>#REF!</v>
      </c>
      <c r="B45" s="266">
        <f t="shared" si="0"/>
        <v>2024</v>
      </c>
      <c r="C45" s="267">
        <v>45443</v>
      </c>
      <c r="D45" s="268">
        <v>955663.21064539789</v>
      </c>
      <c r="E45" s="268">
        <v>2404836.0764270574</v>
      </c>
      <c r="F45" s="269">
        <v>3360499.2870724555</v>
      </c>
    </row>
    <row r="46" spans="1:6">
      <c r="A46" s="259" t="e">
        <f>IF(C46&lt;EOMONTH(#REF!,-1),0,IF(C46&gt;EOMONTH(#REF!,10),2,1))</f>
        <v>#REF!</v>
      </c>
      <c r="B46" s="266">
        <f t="shared" si="0"/>
        <v>2024</v>
      </c>
      <c r="C46" s="267">
        <v>45473</v>
      </c>
      <c r="D46" s="268">
        <v>963541.04490724392</v>
      </c>
      <c r="E46" s="268">
        <v>2396958.2421679031</v>
      </c>
      <c r="F46" s="269">
        <v>3360499.287075147</v>
      </c>
    </row>
    <row r="47" spans="1:6">
      <c r="A47" s="259" t="e">
        <f>IF(C47&lt;EOMONTH(#REF!,-1),0,IF(C47&gt;EOMONTH(#REF!,10),2,1))</f>
        <v>#REF!</v>
      </c>
      <c r="B47" s="266">
        <f t="shared" si="0"/>
        <v>2024</v>
      </c>
      <c r="C47" s="267">
        <v>45504</v>
      </c>
      <c r="D47" s="268">
        <v>971491.21965283086</v>
      </c>
      <c r="E47" s="268">
        <v>2389008.0674250163</v>
      </c>
      <c r="F47" s="269">
        <v>3360499.2870778469</v>
      </c>
    </row>
    <row r="48" spans="1:6">
      <c r="A48" s="259" t="e">
        <f>IF(C48&lt;EOMONTH(#REF!,-1),0,IF(C48&gt;EOMONTH(#REF!,10),2,1))</f>
        <v>#REF!</v>
      </c>
      <c r="B48" s="266">
        <f t="shared" si="0"/>
        <v>2024</v>
      </c>
      <c r="C48" s="267">
        <v>45535</v>
      </c>
      <c r="D48" s="268">
        <v>979514.47034059942</v>
      </c>
      <c r="E48" s="268">
        <v>2380984.8167399564</v>
      </c>
      <c r="F48" s="269">
        <v>3360499.2870805557</v>
      </c>
    </row>
    <row r="49" spans="1:6">
      <c r="A49" s="259" t="e">
        <f>IF(C49&lt;EOMONTH(#REF!,-1),0,IF(C49&gt;EOMONTH(#REF!,10),2,1))</f>
        <v>#REF!</v>
      </c>
      <c r="B49" s="266">
        <f t="shared" si="0"/>
        <v>2024</v>
      </c>
      <c r="C49" s="267">
        <v>45565</v>
      </c>
      <c r="D49" s="268">
        <v>987611.48895094241</v>
      </c>
      <c r="E49" s="268">
        <v>2372887.7981323306</v>
      </c>
      <c r="F49" s="269">
        <v>3360499.2870832728</v>
      </c>
    </row>
    <row r="50" spans="1:6">
      <c r="A50" s="259" t="e">
        <f>IF(C50&lt;EOMONTH(#REF!,-1),0,IF(C50&gt;EOMONTH(#REF!,10),2,1))</f>
        <v>#REF!</v>
      </c>
      <c r="B50" s="266">
        <f t="shared" si="0"/>
        <v>2024</v>
      </c>
      <c r="C50" s="267">
        <v>45596</v>
      </c>
      <c r="D50" s="268">
        <v>995783.01405367861</v>
      </c>
      <c r="E50" s="268">
        <v>2364716.2730323197</v>
      </c>
      <c r="F50" s="269">
        <v>3360499.2870859983</v>
      </c>
    </row>
    <row r="51" spans="1:6">
      <c r="A51" s="259" t="e">
        <f>IF(C51&lt;EOMONTH(#REF!,-1),0,IF(C51&gt;EOMONTH(#REF!,10),2,1))</f>
        <v>#REF!</v>
      </c>
      <c r="B51" s="266">
        <f t="shared" si="0"/>
        <v>2024</v>
      </c>
      <c r="C51" s="267">
        <v>45626</v>
      </c>
      <c r="D51" s="268">
        <v>1004029.7808762318</v>
      </c>
      <c r="E51" s="268">
        <v>2356469.5062125009</v>
      </c>
      <c r="F51" s="269">
        <v>3360499.2870887327</v>
      </c>
    </row>
    <row r="52" spans="1:6" ht="15.75" thickBot="1">
      <c r="A52" s="259" t="e">
        <f>IF(C52&lt;EOMONTH(#REF!,-1),0,IF(C52&gt;EOMONTH(#REF!,10),2,1))</f>
        <v>#REF!</v>
      </c>
      <c r="B52" s="266">
        <f t="shared" si="0"/>
        <v>2024</v>
      </c>
      <c r="C52" s="270">
        <v>45657</v>
      </c>
      <c r="D52" s="271">
        <v>1012352.5213725305</v>
      </c>
      <c r="E52" s="271">
        <v>2348146.7657189462</v>
      </c>
      <c r="F52" s="272">
        <v>3360499.2870914768</v>
      </c>
    </row>
    <row r="53" spans="1:6" ht="15.75" thickBot="1">
      <c r="C53" s="273"/>
      <c r="D53" s="274">
        <f>SUM(D5:D52)</f>
        <v>39943980.292214081</v>
      </c>
      <c r="E53" s="274">
        <f>SUM(E5:E52)</f>
        <v>119261952.66515832</v>
      </c>
      <c r="F53" s="275">
        <f>SUM(F5:F52)</f>
        <v>159205932.9573724</v>
      </c>
    </row>
    <row r="54" spans="1:6">
      <c r="C54" s="276" t="s">
        <v>285</v>
      </c>
    </row>
    <row r="55" spans="1:6">
      <c r="C55" s="276" t="s">
        <v>286</v>
      </c>
    </row>
    <row r="56" spans="1:6">
      <c r="C56" s="276" t="s">
        <v>287</v>
      </c>
    </row>
    <row r="57" spans="1:6">
      <c r="C57" s="276" t="s">
        <v>288</v>
      </c>
    </row>
    <row r="58" spans="1:6">
      <c r="C58" s="276" t="s">
        <v>289</v>
      </c>
    </row>
  </sheetData>
  <mergeCells count="1">
    <mergeCell ref="C1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180"/>
  <sheetViews>
    <sheetView showGridLines="0" workbookViewId="0">
      <pane xSplit="3" ySplit="4" topLeftCell="D5" activePane="bottomRight" state="frozen"/>
      <selection activeCell="B28" sqref="B28"/>
      <selection pane="topRight" activeCell="B28" sqref="B28"/>
      <selection pane="bottomLeft" activeCell="B28" sqref="B28"/>
      <selection pane="bottomRight" activeCell="C1" sqref="C1"/>
    </sheetView>
  </sheetViews>
  <sheetFormatPr defaultColWidth="9.140625" defaultRowHeight="15"/>
  <cols>
    <col min="1" max="1" width="12.85546875" style="80" bestFit="1" customWidth="1"/>
    <col min="2" max="2" width="6.140625" style="84" customWidth="1"/>
    <col min="3" max="3" width="46.85546875" style="84" customWidth="1"/>
    <col min="4" max="4" width="15.7109375" style="82" bestFit="1" customWidth="1"/>
    <col min="5" max="5" width="15.5703125" style="82" bestFit="1" customWidth="1"/>
    <col min="6" max="7" width="16.7109375" style="121" bestFit="1" customWidth="1"/>
    <col min="8" max="8" width="16" style="121" bestFit="1" customWidth="1"/>
    <col min="9" max="10" width="15.5703125" style="82" bestFit="1" customWidth="1"/>
    <col min="11" max="13" width="15.5703125" style="122" customWidth="1"/>
    <col min="14" max="14" width="15.5703125" style="82" bestFit="1" customWidth="1"/>
    <col min="15" max="16" width="15.5703125" style="122" customWidth="1"/>
    <col min="17" max="17" width="16.28515625" style="82" bestFit="1" customWidth="1"/>
    <col min="18" max="21" width="16.28515625" style="122" customWidth="1"/>
    <col min="22" max="22" width="15.28515625" style="82" bestFit="1" customWidth="1"/>
    <col min="23" max="23" width="16.28515625" style="106" customWidth="1"/>
    <col min="24" max="27" width="16.28515625" style="122" customWidth="1"/>
    <col min="28" max="29" width="15.28515625" style="84" bestFit="1" customWidth="1"/>
    <col min="30" max="30" width="14.28515625" style="84" bestFit="1" customWidth="1"/>
    <col min="31" max="32" width="15.28515625" style="84" bestFit="1" customWidth="1"/>
    <col min="33" max="33" width="16" style="84" bestFit="1" customWidth="1"/>
    <col min="34" max="39" width="15.28515625" style="84" bestFit="1" customWidth="1"/>
    <col min="40" max="40" width="16" style="84" bestFit="1" customWidth="1"/>
    <col min="41" max="41" width="15.28515625" style="84" bestFit="1" customWidth="1"/>
    <col min="42" max="43" width="15.42578125" style="84" bestFit="1" customWidth="1"/>
    <col min="44" max="44" width="15.28515625" style="84" bestFit="1" customWidth="1"/>
    <col min="45" max="46" width="15.42578125" style="84" bestFit="1" customWidth="1"/>
    <col min="47" max="47" width="16.140625" style="84" bestFit="1" customWidth="1"/>
    <col min="48" max="48" width="15.42578125" style="84" bestFit="1" customWidth="1"/>
    <col min="49" max="53" width="15.28515625" style="84" bestFit="1" customWidth="1"/>
    <col min="54" max="54" width="16" style="84" bestFit="1" customWidth="1"/>
    <col min="55" max="55" width="15.28515625" style="84" bestFit="1" customWidth="1"/>
    <col min="56" max="16384" width="9.140625" style="84"/>
  </cols>
  <sheetData>
    <row r="1" spans="1:55" ht="26.25">
      <c r="B1" s="81"/>
      <c r="C1" s="81"/>
      <c r="F1" s="82"/>
      <c r="G1" s="82"/>
      <c r="H1" s="82"/>
      <c r="K1" s="82"/>
      <c r="L1" s="82"/>
      <c r="M1" s="82"/>
      <c r="O1" s="82"/>
      <c r="P1" s="82"/>
      <c r="R1" s="82"/>
      <c r="S1" s="82"/>
      <c r="T1" s="82"/>
      <c r="U1" s="82"/>
      <c r="W1" s="83"/>
      <c r="X1" s="82"/>
      <c r="Y1" s="82"/>
      <c r="Z1" s="82"/>
      <c r="AA1" s="82"/>
    </row>
    <row r="2" spans="1:55" ht="15.75" thickBot="1">
      <c r="B2" s="85"/>
      <c r="C2" s="86"/>
      <c r="D2" s="378">
        <v>2017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9">
        <v>2018</v>
      </c>
      <c r="AC2" s="379"/>
      <c r="AD2" s="379"/>
      <c r="AE2" s="379"/>
      <c r="AF2" s="379"/>
      <c r="AG2" s="379"/>
      <c r="AH2" s="380"/>
      <c r="AI2" s="379">
        <v>2019</v>
      </c>
      <c r="AJ2" s="379"/>
      <c r="AK2" s="379"/>
      <c r="AL2" s="379"/>
      <c r="AM2" s="379"/>
      <c r="AN2" s="379"/>
      <c r="AO2" s="380"/>
      <c r="AP2" s="379">
        <v>2020</v>
      </c>
      <c r="AQ2" s="379"/>
      <c r="AR2" s="379"/>
      <c r="AS2" s="379"/>
      <c r="AT2" s="379"/>
      <c r="AU2" s="379"/>
      <c r="AV2" s="380"/>
      <c r="AW2" s="379" t="s">
        <v>210</v>
      </c>
      <c r="AX2" s="379"/>
      <c r="AY2" s="379"/>
      <c r="AZ2" s="379"/>
      <c r="BA2" s="379"/>
      <c r="BB2" s="379"/>
      <c r="BC2" s="380"/>
    </row>
    <row r="3" spans="1:55" ht="15.75" thickTop="1">
      <c r="B3" s="87" t="s">
        <v>211</v>
      </c>
      <c r="C3" s="88"/>
      <c r="D3" s="381" t="s">
        <v>55</v>
      </c>
      <c r="E3" s="381"/>
      <c r="F3" s="381"/>
      <c r="G3" s="381"/>
      <c r="H3" s="382"/>
      <c r="I3" s="383" t="s">
        <v>56</v>
      </c>
      <c r="J3" s="383"/>
      <c r="K3" s="383"/>
      <c r="L3" s="383"/>
      <c r="M3" s="383"/>
      <c r="N3" s="384" t="s">
        <v>212</v>
      </c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6"/>
      <c r="AB3" s="377" t="s">
        <v>55</v>
      </c>
      <c r="AC3" s="377"/>
      <c r="AD3" s="377" t="s">
        <v>56</v>
      </c>
      <c r="AE3" s="377"/>
      <c r="AF3" s="376" t="s">
        <v>212</v>
      </c>
      <c r="AG3" s="376"/>
      <c r="AH3" s="86"/>
      <c r="AI3" s="377" t="s">
        <v>55</v>
      </c>
      <c r="AJ3" s="377"/>
      <c r="AK3" s="377" t="s">
        <v>56</v>
      </c>
      <c r="AL3" s="377"/>
      <c r="AM3" s="376" t="s">
        <v>212</v>
      </c>
      <c r="AN3" s="376"/>
      <c r="AO3" s="86"/>
      <c r="AP3" s="377" t="s">
        <v>55</v>
      </c>
      <c r="AQ3" s="377"/>
      <c r="AR3" s="377" t="s">
        <v>56</v>
      </c>
      <c r="AS3" s="377"/>
      <c r="AT3" s="376" t="s">
        <v>212</v>
      </c>
      <c r="AU3" s="376"/>
      <c r="AV3" s="86"/>
      <c r="AW3" s="377" t="s">
        <v>55</v>
      </c>
      <c r="AX3" s="377"/>
      <c r="AY3" s="377" t="s">
        <v>56</v>
      </c>
      <c r="AZ3" s="377"/>
      <c r="BA3" s="376" t="s">
        <v>212</v>
      </c>
      <c r="BB3" s="376"/>
      <c r="BC3" s="86"/>
    </row>
    <row r="4" spans="1:55" ht="45">
      <c r="A4" s="89" t="s">
        <v>213</v>
      </c>
      <c r="B4" s="87"/>
      <c r="C4" s="88"/>
      <c r="D4" s="90" t="s">
        <v>16</v>
      </c>
      <c r="E4" s="91" t="s">
        <v>19</v>
      </c>
      <c r="F4" s="89" t="s">
        <v>214</v>
      </c>
      <c r="G4" s="92" t="s">
        <v>215</v>
      </c>
      <c r="H4" s="89" t="s">
        <v>49</v>
      </c>
      <c r="I4" s="91" t="s">
        <v>22</v>
      </c>
      <c r="J4" s="91" t="s">
        <v>25</v>
      </c>
      <c r="K4" s="89" t="s">
        <v>216</v>
      </c>
      <c r="L4" s="92" t="s">
        <v>215</v>
      </c>
      <c r="M4" s="89" t="s">
        <v>49</v>
      </c>
      <c r="N4" s="93" t="s">
        <v>57</v>
      </c>
      <c r="O4" s="94" t="s">
        <v>215</v>
      </c>
      <c r="P4" s="95" t="s">
        <v>49</v>
      </c>
      <c r="Q4" s="93" t="s">
        <v>217</v>
      </c>
      <c r="R4" s="94" t="s">
        <v>218</v>
      </c>
      <c r="S4" s="94" t="s">
        <v>219</v>
      </c>
      <c r="T4" s="94" t="s">
        <v>220</v>
      </c>
      <c r="U4" s="95" t="s">
        <v>49</v>
      </c>
      <c r="V4" s="96" t="s">
        <v>59</v>
      </c>
      <c r="W4" s="92" t="s">
        <v>221</v>
      </c>
      <c r="X4" s="92" t="s">
        <v>222</v>
      </c>
      <c r="Y4" s="92" t="s">
        <v>223</v>
      </c>
      <c r="Z4" s="92" t="s">
        <v>224</v>
      </c>
      <c r="AA4" s="92" t="s">
        <v>49</v>
      </c>
      <c r="AB4" s="87" t="s">
        <v>16</v>
      </c>
      <c r="AC4" s="87" t="s">
        <v>19</v>
      </c>
      <c r="AD4" s="87" t="s">
        <v>22</v>
      </c>
      <c r="AE4" s="87" t="s">
        <v>25</v>
      </c>
      <c r="AF4" s="87" t="s">
        <v>57</v>
      </c>
      <c r="AG4" s="87" t="s">
        <v>217</v>
      </c>
      <c r="AH4" s="97" t="s">
        <v>59</v>
      </c>
      <c r="AI4" s="87" t="s">
        <v>16</v>
      </c>
      <c r="AJ4" s="87" t="s">
        <v>19</v>
      </c>
      <c r="AK4" s="87" t="s">
        <v>22</v>
      </c>
      <c r="AL4" s="87" t="s">
        <v>25</v>
      </c>
      <c r="AM4" s="87" t="s">
        <v>57</v>
      </c>
      <c r="AN4" s="87" t="s">
        <v>217</v>
      </c>
      <c r="AO4" s="97" t="s">
        <v>59</v>
      </c>
      <c r="AP4" s="87" t="s">
        <v>16</v>
      </c>
      <c r="AQ4" s="87" t="s">
        <v>19</v>
      </c>
      <c r="AR4" s="87" t="s">
        <v>22</v>
      </c>
      <c r="AS4" s="87" t="s">
        <v>25</v>
      </c>
      <c r="AT4" s="87" t="s">
        <v>57</v>
      </c>
      <c r="AU4" s="87" t="s">
        <v>217</v>
      </c>
      <c r="AV4" s="97" t="s">
        <v>59</v>
      </c>
      <c r="AW4" s="87" t="s">
        <v>16</v>
      </c>
      <c r="AX4" s="87" t="s">
        <v>19</v>
      </c>
      <c r="AY4" s="87" t="s">
        <v>22</v>
      </c>
      <c r="AZ4" s="87" t="s">
        <v>25</v>
      </c>
      <c r="BA4" s="87" t="s">
        <v>57</v>
      </c>
      <c r="BB4" s="87" t="s">
        <v>217</v>
      </c>
      <c r="BC4" s="97" t="s">
        <v>59</v>
      </c>
    </row>
    <row r="5" spans="1:55">
      <c r="B5" s="87" t="s">
        <v>225</v>
      </c>
      <c r="C5" s="88"/>
      <c r="D5" s="98">
        <f>SUM(D6:D10)</f>
        <v>55762661.420000054</v>
      </c>
      <c r="E5" s="98">
        <f t="shared" ref="E5:Z5" si="0">SUM(E6:E10)</f>
        <v>53084635.049999982</v>
      </c>
      <c r="F5" s="99">
        <f>SUM(D5:E5)</f>
        <v>108847296.47000003</v>
      </c>
      <c r="G5" s="99">
        <f>SUM(G6:G11)</f>
        <v>109383691.40000001</v>
      </c>
      <c r="H5" s="99">
        <f>F5-G5</f>
        <v>-536394.92999997735</v>
      </c>
      <c r="I5" s="98">
        <f t="shared" si="0"/>
        <v>14083163.820000006</v>
      </c>
      <c r="J5" s="98">
        <f t="shared" si="0"/>
        <v>22749188.059999995</v>
      </c>
      <c r="K5" s="100">
        <f>J5+I5</f>
        <v>36832351.880000003</v>
      </c>
      <c r="L5" s="100">
        <f>SUM(L6:L10)</f>
        <v>36832351.880000003</v>
      </c>
      <c r="M5" s="100">
        <f>K5-L5</f>
        <v>0</v>
      </c>
      <c r="N5" s="98">
        <f>SUM(N6:N10)</f>
        <v>41685432.020000003</v>
      </c>
      <c r="O5" s="100">
        <f>SUM(O6:O10)</f>
        <v>41685432.020000003</v>
      </c>
      <c r="P5" s="100">
        <f>N5-O5</f>
        <v>0</v>
      </c>
      <c r="Q5" s="98">
        <f t="shared" si="0"/>
        <v>238031426.22999999</v>
      </c>
      <c r="R5" s="100">
        <f>SUM(R6:R10)</f>
        <v>46172404.040000007</v>
      </c>
      <c r="S5" s="100">
        <f>SUM(S6:S10)</f>
        <v>83226262.61999999</v>
      </c>
      <c r="T5" s="100">
        <f>SUM(T6:T10)</f>
        <v>110198808.69000001</v>
      </c>
      <c r="U5" s="100">
        <f>Q5-R5-S5-T5</f>
        <v>-1566049.1200000048</v>
      </c>
      <c r="V5" s="98">
        <f t="shared" si="0"/>
        <v>0</v>
      </c>
      <c r="W5" s="100">
        <f t="shared" si="0"/>
        <v>0</v>
      </c>
      <c r="X5" s="100">
        <f t="shared" si="0"/>
        <v>0</v>
      </c>
      <c r="Y5" s="100">
        <f t="shared" si="0"/>
        <v>0</v>
      </c>
      <c r="Z5" s="100">
        <f t="shared" si="0"/>
        <v>0</v>
      </c>
      <c r="AA5" s="100">
        <f>V5-W5-X5-Y5-Z5</f>
        <v>0</v>
      </c>
      <c r="AB5" s="87">
        <f>SUM(AB6:AB10)</f>
        <v>56995368.740000002</v>
      </c>
      <c r="AC5" s="87">
        <f t="shared" ref="AC5:AE5" si="1">SUM(AC6:AC10)</f>
        <v>54470963.75999999</v>
      </c>
      <c r="AD5" s="87">
        <f t="shared" si="1"/>
        <v>15055915.090000002</v>
      </c>
      <c r="AE5" s="87">
        <f t="shared" si="1"/>
        <v>24671153.969999999</v>
      </c>
      <c r="AF5" s="87">
        <f>SUM(AF6:AF10)</f>
        <v>45365329.170000002</v>
      </c>
      <c r="AG5" s="87">
        <f>SUM(AG6:AG10)</f>
        <v>240259537.27999997</v>
      </c>
      <c r="AH5" s="101">
        <f t="shared" ref="AH5" si="2">SUM(AH6:AH10)</f>
        <v>0</v>
      </c>
      <c r="AI5" s="87">
        <f>SUM(AI6:AI10)</f>
        <v>60984202.010000028</v>
      </c>
      <c r="AJ5" s="87">
        <f t="shared" ref="AJ5:AL5" si="3">SUM(AJ6:AJ10)</f>
        <v>57262258.269999959</v>
      </c>
      <c r="AK5" s="87">
        <f t="shared" si="3"/>
        <v>17164155.650000006</v>
      </c>
      <c r="AL5" s="87">
        <f t="shared" si="3"/>
        <v>28329026.909999989</v>
      </c>
      <c r="AM5" s="87">
        <f>SUM(AM6:AM10)</f>
        <v>48688731.239999942</v>
      </c>
      <c r="AN5" s="87">
        <f>SUM(AN6:AN10)</f>
        <v>245530486.71999994</v>
      </c>
      <c r="AO5" s="101">
        <f t="shared" ref="AO5" si="4">SUM(AO6:AO10)</f>
        <v>0</v>
      </c>
      <c r="AP5" s="87">
        <f>SUM(AP6:AP10)</f>
        <v>59473576.530000068</v>
      </c>
      <c r="AQ5" s="87">
        <f t="shared" ref="AQ5:AS5" si="5">SUM(AQ6:AQ10)</f>
        <v>55863553.909999989</v>
      </c>
      <c r="AR5" s="87">
        <f t="shared" si="5"/>
        <v>19333074.669999998</v>
      </c>
      <c r="AS5" s="87">
        <f t="shared" si="5"/>
        <v>30678215.760000009</v>
      </c>
      <c r="AT5" s="87">
        <f>SUM(AT6:AT10)</f>
        <v>51200205.009999946</v>
      </c>
      <c r="AU5" s="87">
        <f>SUM(AU6:AU10)</f>
        <v>246397754.25</v>
      </c>
      <c r="AV5" s="101">
        <f t="shared" ref="AV5" si="6">SUM(AV6:AV10)</f>
        <v>0</v>
      </c>
      <c r="AW5" s="87">
        <f>SUM(AW6:AW10)</f>
        <v>43750543.780000031</v>
      </c>
      <c r="AX5" s="87">
        <f t="shared" ref="AX5:AZ5" si="7">SUM(AX6:AX10)</f>
        <v>38913474.029999994</v>
      </c>
      <c r="AY5" s="87">
        <f t="shared" si="7"/>
        <v>15944867.25</v>
      </c>
      <c r="AZ5" s="87">
        <f t="shared" si="7"/>
        <v>23629846.690000009</v>
      </c>
      <c r="BA5" s="87">
        <f>SUM(BA6:BA10)</f>
        <v>33385477.990000002</v>
      </c>
      <c r="BB5" s="87">
        <f>SUM(BB6:BB10)</f>
        <v>169329733.95000005</v>
      </c>
      <c r="BC5" s="101">
        <f t="shared" ref="BC5" si="8">SUM(BC6:BC10)</f>
        <v>0</v>
      </c>
    </row>
    <row r="6" spans="1:55">
      <c r="A6" s="80" t="s">
        <v>2</v>
      </c>
      <c r="B6" s="102">
        <v>101</v>
      </c>
      <c r="C6" s="103" t="s">
        <v>66</v>
      </c>
      <c r="D6" s="83">
        <v>46198792.120000049</v>
      </c>
      <c r="E6" s="83">
        <v>45201137.93999999</v>
      </c>
      <c r="F6" s="104">
        <f t="shared" ref="F6:F69" si="9">SUM(D6:E6)</f>
        <v>91399930.060000032</v>
      </c>
      <c r="G6" s="104">
        <v>91882842.75</v>
      </c>
      <c r="H6" s="105">
        <f t="shared" ref="H6:H10" si="10">F6-G6</f>
        <v>-482912.68999996781</v>
      </c>
      <c r="I6" s="83">
        <v>12058295.490000006</v>
      </c>
      <c r="J6" s="83">
        <v>20071931.159999996</v>
      </c>
      <c r="K6" s="106">
        <f t="shared" ref="K6:K69" si="11">J6+I6</f>
        <v>32130226.650000002</v>
      </c>
      <c r="L6" s="107">
        <v>32130226.649999999</v>
      </c>
      <c r="M6" s="106">
        <f t="shared" ref="M6:M69" si="12">K6-L6</f>
        <v>0</v>
      </c>
      <c r="N6" s="83">
        <v>39619841.840000004</v>
      </c>
      <c r="O6" s="107">
        <v>39619841.840000004</v>
      </c>
      <c r="P6" s="106">
        <f t="shared" ref="P6:P69" si="13">N6-O6</f>
        <v>0</v>
      </c>
      <c r="Q6" s="83">
        <v>189250727.94</v>
      </c>
      <c r="R6" s="106">
        <v>26047117.260000002</v>
      </c>
      <c r="S6" s="106">
        <v>73450795.879999995</v>
      </c>
      <c r="T6" s="106">
        <v>90996707.980000004</v>
      </c>
      <c r="U6" s="106">
        <f>Q6-R6-S6-T6</f>
        <v>-1243893.1799999923</v>
      </c>
      <c r="V6" s="83">
        <v>0</v>
      </c>
      <c r="W6" s="106">
        <v>0</v>
      </c>
      <c r="X6" s="106">
        <v>0</v>
      </c>
      <c r="Y6" s="106">
        <v>0</v>
      </c>
      <c r="Z6" s="106">
        <v>0</v>
      </c>
      <c r="AA6" s="106">
        <f t="shared" ref="AA6:AA69" si="14">V6-W6-X6-Y6-Z6</f>
        <v>0</v>
      </c>
      <c r="AB6" s="83">
        <v>46800239.609999999</v>
      </c>
      <c r="AC6" s="83">
        <v>45754567.619999997</v>
      </c>
      <c r="AD6" s="83">
        <v>12563835.940000003</v>
      </c>
      <c r="AE6" s="83">
        <v>21586030.920000002</v>
      </c>
      <c r="AF6" s="83">
        <v>42979420.200000003</v>
      </c>
      <c r="AG6" s="83">
        <v>193407439.50999996</v>
      </c>
      <c r="AH6" s="108">
        <v>0</v>
      </c>
      <c r="AI6" s="83">
        <v>49660279.69000002</v>
      </c>
      <c r="AJ6" s="83">
        <v>48027551.54999996</v>
      </c>
      <c r="AK6" s="83">
        <v>14156864.140000006</v>
      </c>
      <c r="AL6" s="83">
        <v>24452573.349999994</v>
      </c>
      <c r="AM6" s="83">
        <v>46122557.159999944</v>
      </c>
      <c r="AN6" s="83">
        <v>203678580.85999995</v>
      </c>
      <c r="AO6" s="108">
        <v>0</v>
      </c>
      <c r="AP6" s="83">
        <v>48294139.420000061</v>
      </c>
      <c r="AQ6" s="83">
        <v>47232823.749999985</v>
      </c>
      <c r="AR6" s="83">
        <v>15970959.26</v>
      </c>
      <c r="AS6" s="83">
        <v>26624387.270000011</v>
      </c>
      <c r="AT6" s="83">
        <v>47572278.409999944</v>
      </c>
      <c r="AU6" s="83">
        <v>204867162.63999999</v>
      </c>
      <c r="AV6" s="108">
        <v>0</v>
      </c>
      <c r="AW6" s="83">
        <v>35295777.390000023</v>
      </c>
      <c r="AX6" s="83">
        <v>33191127.029999994</v>
      </c>
      <c r="AY6" s="83">
        <v>13192116.34</v>
      </c>
      <c r="AZ6" s="83">
        <v>20171627.47000001</v>
      </c>
      <c r="BA6" s="83">
        <v>30080189.570000004</v>
      </c>
      <c r="BB6" s="83">
        <v>137797495.89000002</v>
      </c>
      <c r="BC6" s="108">
        <v>0</v>
      </c>
    </row>
    <row r="7" spans="1:55">
      <c r="A7" s="80" t="s">
        <v>2</v>
      </c>
      <c r="B7" s="102">
        <v>102</v>
      </c>
      <c r="C7" s="103" t="s">
        <v>67</v>
      </c>
      <c r="D7" s="83">
        <v>7802176.4000000022</v>
      </c>
      <c r="E7" s="83">
        <v>5152226.3199999956</v>
      </c>
      <c r="F7" s="104">
        <f t="shared" si="9"/>
        <v>12954402.719999999</v>
      </c>
      <c r="G7" s="104">
        <v>13007884.960000001</v>
      </c>
      <c r="H7" s="105">
        <f t="shared" si="10"/>
        <v>-53482.240000002086</v>
      </c>
      <c r="I7" s="83">
        <v>1516677.2499999995</v>
      </c>
      <c r="J7" s="83">
        <v>1914030.2699999996</v>
      </c>
      <c r="K7" s="106">
        <f t="shared" si="11"/>
        <v>3430707.5199999991</v>
      </c>
      <c r="L7" s="107">
        <v>3430707.52</v>
      </c>
      <c r="M7" s="106">
        <f t="shared" si="12"/>
        <v>0</v>
      </c>
      <c r="N7" s="83">
        <v>979638.00000000047</v>
      </c>
      <c r="O7" s="107">
        <v>979638</v>
      </c>
      <c r="P7" s="106">
        <f t="shared" si="13"/>
        <v>0</v>
      </c>
      <c r="Q7" s="83">
        <v>3148150.37</v>
      </c>
      <c r="R7" s="106">
        <v>352376.19</v>
      </c>
      <c r="S7" s="106">
        <v>965834.46</v>
      </c>
      <c r="T7" s="106">
        <v>1830340.5</v>
      </c>
      <c r="U7" s="106">
        <f t="shared" ref="U7:U10" si="15">Q7-R7-S7-T7</f>
        <v>-400.77999999979511</v>
      </c>
      <c r="V7" s="83">
        <v>0</v>
      </c>
      <c r="W7" s="106">
        <v>0</v>
      </c>
      <c r="X7" s="106">
        <v>0</v>
      </c>
      <c r="Y7" s="106">
        <v>0</v>
      </c>
      <c r="Z7" s="106">
        <v>0</v>
      </c>
      <c r="AA7" s="106">
        <f t="shared" si="14"/>
        <v>0</v>
      </c>
      <c r="AB7" s="83">
        <v>8338061.3400000008</v>
      </c>
      <c r="AC7" s="83">
        <v>5612786.9499999974</v>
      </c>
      <c r="AD7" s="83">
        <v>1754307.4900000002</v>
      </c>
      <c r="AE7" s="83">
        <v>2205643.9899999988</v>
      </c>
      <c r="AF7" s="83">
        <v>1203493.4699999993</v>
      </c>
      <c r="AG7" s="83">
        <v>3480799.9399999995</v>
      </c>
      <c r="AH7" s="108">
        <v>0</v>
      </c>
      <c r="AI7" s="83">
        <v>9312223.360000005</v>
      </c>
      <c r="AJ7" s="83">
        <v>6214233.3099999996</v>
      </c>
      <c r="AK7" s="83">
        <v>2131305.1700000004</v>
      </c>
      <c r="AL7" s="83">
        <v>2771769.549999998</v>
      </c>
      <c r="AM7" s="83">
        <v>1206679.6099999994</v>
      </c>
      <c r="AN7" s="83">
        <v>3535832.1</v>
      </c>
      <c r="AO7" s="108">
        <v>0</v>
      </c>
      <c r="AP7" s="83">
        <v>9040672.5000000056</v>
      </c>
      <c r="AQ7" s="83">
        <v>5527160.0600000052</v>
      </c>
      <c r="AR7" s="83">
        <v>2375328.2200000002</v>
      </c>
      <c r="AS7" s="83">
        <v>2811416.46</v>
      </c>
      <c r="AT7" s="83">
        <v>1009806.9600000001</v>
      </c>
      <c r="AU7" s="83">
        <v>3182584.02</v>
      </c>
      <c r="AV7" s="108">
        <v>0</v>
      </c>
      <c r="AW7" s="83">
        <v>6684448.4300000081</v>
      </c>
      <c r="AX7" s="83">
        <v>3313892.7700000009</v>
      </c>
      <c r="AY7" s="83">
        <v>1794353.9699999997</v>
      </c>
      <c r="AZ7" s="83">
        <v>2294452.649999999</v>
      </c>
      <c r="BA7" s="83">
        <v>582321.20000000007</v>
      </c>
      <c r="BB7" s="83">
        <v>2917817.3099999996</v>
      </c>
      <c r="BC7" s="108">
        <v>0</v>
      </c>
    </row>
    <row r="8" spans="1:55">
      <c r="A8" s="80" t="s">
        <v>2</v>
      </c>
      <c r="B8" s="102">
        <v>105</v>
      </c>
      <c r="C8" s="103" t="s">
        <v>68</v>
      </c>
      <c r="D8" s="83">
        <v>442877.20999999996</v>
      </c>
      <c r="E8" s="83">
        <v>852461.41999999993</v>
      </c>
      <c r="F8" s="104">
        <f t="shared" si="9"/>
        <v>1295338.6299999999</v>
      </c>
      <c r="G8" s="104">
        <v>1295338.6299999999</v>
      </c>
      <c r="H8" s="105">
        <f t="shared" si="10"/>
        <v>0</v>
      </c>
      <c r="I8" s="83">
        <v>20896.45</v>
      </c>
      <c r="J8" s="83">
        <v>229118.90000000002</v>
      </c>
      <c r="K8" s="106">
        <f t="shared" si="11"/>
        <v>250015.35000000003</v>
      </c>
      <c r="L8" s="107">
        <v>250015.35</v>
      </c>
      <c r="M8" s="106">
        <f t="shared" si="12"/>
        <v>0</v>
      </c>
      <c r="N8" s="83">
        <v>980114.49</v>
      </c>
      <c r="O8" s="107">
        <v>980114.49</v>
      </c>
      <c r="P8" s="106">
        <f t="shared" si="13"/>
        <v>0</v>
      </c>
      <c r="Q8" s="83">
        <v>32268683.130000006</v>
      </c>
      <c r="R8" s="106">
        <v>11866175.890000001</v>
      </c>
      <c r="S8" s="106">
        <v>6085370.0300000003</v>
      </c>
      <c r="T8" s="106">
        <v>14638892.369999999</v>
      </c>
      <c r="U8" s="106">
        <f t="shared" si="15"/>
        <v>-321755.15999999456</v>
      </c>
      <c r="V8" s="83">
        <v>0</v>
      </c>
      <c r="W8" s="106">
        <v>0</v>
      </c>
      <c r="X8" s="106">
        <v>0</v>
      </c>
      <c r="Y8" s="106">
        <v>0</v>
      </c>
      <c r="Z8" s="106">
        <v>0</v>
      </c>
      <c r="AA8" s="106">
        <f t="shared" si="14"/>
        <v>0</v>
      </c>
      <c r="AB8" s="83">
        <v>500496.16000000003</v>
      </c>
      <c r="AC8" s="83">
        <v>1104501.3500000001</v>
      </c>
      <c r="AD8" s="83">
        <v>146150.29</v>
      </c>
      <c r="AE8" s="83">
        <v>291799.38</v>
      </c>
      <c r="AF8" s="83">
        <v>1074126.4200000002</v>
      </c>
      <c r="AG8" s="83">
        <v>30059150.399999999</v>
      </c>
      <c r="AH8" s="108">
        <v>0</v>
      </c>
      <c r="AI8" s="83">
        <v>601727.31000000006</v>
      </c>
      <c r="AJ8" s="83">
        <v>773809.49999999988</v>
      </c>
      <c r="AK8" s="83">
        <v>219192.15999999997</v>
      </c>
      <c r="AL8" s="83">
        <v>360099.61</v>
      </c>
      <c r="AM8" s="83">
        <v>1252285.4900000002</v>
      </c>
      <c r="AN8" s="83">
        <v>25315213.380000006</v>
      </c>
      <c r="AO8" s="108">
        <v>0</v>
      </c>
      <c r="AP8" s="83">
        <v>585816.19000000006</v>
      </c>
      <c r="AQ8" s="83">
        <v>778872.8</v>
      </c>
      <c r="AR8" s="83">
        <v>244394.22000000003</v>
      </c>
      <c r="AS8" s="83">
        <v>319531.74000000005</v>
      </c>
      <c r="AT8" s="83">
        <v>2481922.5399999996</v>
      </c>
      <c r="AU8" s="83">
        <v>24453433.270000003</v>
      </c>
      <c r="AV8" s="108"/>
      <c r="AW8" s="83">
        <v>503377.69</v>
      </c>
      <c r="AX8" s="83">
        <v>530218.67999999993</v>
      </c>
      <c r="AY8" s="83">
        <v>351039.38999999996</v>
      </c>
      <c r="AZ8" s="83">
        <v>356444.38999999996</v>
      </c>
      <c r="BA8" s="83">
        <v>2604108.0099999998</v>
      </c>
      <c r="BB8" s="83">
        <v>17432270.640000001</v>
      </c>
      <c r="BC8" s="108"/>
    </row>
    <row r="9" spans="1:55">
      <c r="A9" s="80" t="s">
        <v>2</v>
      </c>
      <c r="B9" s="102">
        <v>106</v>
      </c>
      <c r="C9" s="103" t="s">
        <v>69</v>
      </c>
      <c r="D9" s="83">
        <v>0</v>
      </c>
      <c r="E9" s="83">
        <v>0</v>
      </c>
      <c r="F9" s="104">
        <f t="shared" si="9"/>
        <v>0</v>
      </c>
      <c r="G9" s="104">
        <v>0</v>
      </c>
      <c r="H9" s="105">
        <f t="shared" si="10"/>
        <v>0</v>
      </c>
      <c r="I9" s="83">
        <v>0</v>
      </c>
      <c r="J9" s="83">
        <v>0</v>
      </c>
      <c r="K9" s="106">
        <f t="shared" si="11"/>
        <v>0</v>
      </c>
      <c r="L9" s="107">
        <v>0</v>
      </c>
      <c r="M9" s="106">
        <f t="shared" si="12"/>
        <v>0</v>
      </c>
      <c r="N9" s="83">
        <v>0</v>
      </c>
      <c r="O9" s="107">
        <v>0</v>
      </c>
      <c r="P9" s="106">
        <f t="shared" si="13"/>
        <v>0</v>
      </c>
      <c r="Q9" s="83">
        <v>7861857.9499999993</v>
      </c>
      <c r="R9" s="106">
        <v>7861857.9500000002</v>
      </c>
      <c r="S9" s="106">
        <v>0</v>
      </c>
      <c r="T9" s="106">
        <v>0</v>
      </c>
      <c r="U9" s="106">
        <f t="shared" si="15"/>
        <v>-9.3132257461547852E-10</v>
      </c>
      <c r="V9" s="83">
        <v>0</v>
      </c>
      <c r="W9" s="106">
        <v>0</v>
      </c>
      <c r="X9" s="106">
        <v>0</v>
      </c>
      <c r="Y9" s="106">
        <v>0</v>
      </c>
      <c r="Z9" s="106">
        <v>0</v>
      </c>
      <c r="AA9" s="106">
        <f t="shared" si="14"/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7486624.0999999996</v>
      </c>
      <c r="AH9" s="108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6844805.3199999994</v>
      </c>
      <c r="AO9" s="108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7262801.0099999998</v>
      </c>
      <c r="AV9" s="108"/>
      <c r="AW9" s="83">
        <v>0</v>
      </c>
      <c r="AX9" s="83">
        <v>0</v>
      </c>
      <c r="AY9" s="83">
        <v>0</v>
      </c>
      <c r="AZ9" s="83">
        <v>0</v>
      </c>
      <c r="BA9" s="83">
        <v>0</v>
      </c>
      <c r="BB9" s="83">
        <v>5636788.2100000009</v>
      </c>
      <c r="BC9" s="108"/>
    </row>
    <row r="10" spans="1:55">
      <c r="A10" s="80" t="s">
        <v>2</v>
      </c>
      <c r="B10" s="102">
        <v>111</v>
      </c>
      <c r="C10" s="103" t="s">
        <v>70</v>
      </c>
      <c r="D10" s="83">
        <v>1318815.6900000004</v>
      </c>
      <c r="E10" s="83">
        <v>1878809.370000001</v>
      </c>
      <c r="F10" s="104">
        <f t="shared" si="9"/>
        <v>3197625.0600000015</v>
      </c>
      <c r="G10" s="104">
        <v>3197625.06</v>
      </c>
      <c r="H10" s="105">
        <f t="shared" si="10"/>
        <v>0</v>
      </c>
      <c r="I10" s="83">
        <v>487294.62999999995</v>
      </c>
      <c r="J10" s="83">
        <v>534107.73000000021</v>
      </c>
      <c r="K10" s="106">
        <f t="shared" si="11"/>
        <v>1021402.3600000001</v>
      </c>
      <c r="L10" s="107">
        <v>1021402.36</v>
      </c>
      <c r="M10" s="106">
        <f t="shared" si="12"/>
        <v>0</v>
      </c>
      <c r="N10" s="83">
        <v>105837.69000000002</v>
      </c>
      <c r="O10" s="107">
        <v>105837.69</v>
      </c>
      <c r="P10" s="106">
        <f t="shared" si="13"/>
        <v>0</v>
      </c>
      <c r="Q10" s="83">
        <v>5502006.8399999999</v>
      </c>
      <c r="R10" s="106">
        <v>44876.75</v>
      </c>
      <c r="S10" s="106">
        <v>2724262.25</v>
      </c>
      <c r="T10" s="106">
        <v>2732867.84</v>
      </c>
      <c r="U10" s="106">
        <f t="shared" si="15"/>
        <v>0</v>
      </c>
      <c r="V10" s="83">
        <v>0</v>
      </c>
      <c r="W10" s="106">
        <v>0</v>
      </c>
      <c r="X10" s="106">
        <v>0</v>
      </c>
      <c r="Y10" s="106">
        <v>0</v>
      </c>
      <c r="Z10" s="106">
        <v>0</v>
      </c>
      <c r="AA10" s="106">
        <f t="shared" si="14"/>
        <v>0</v>
      </c>
      <c r="AB10" s="83">
        <v>1356571.6300000001</v>
      </c>
      <c r="AC10" s="83">
        <v>1999107.8399999985</v>
      </c>
      <c r="AD10" s="83">
        <v>591621.36999999988</v>
      </c>
      <c r="AE10" s="83">
        <v>587679.68000000017</v>
      </c>
      <c r="AF10" s="83">
        <v>108289.08000000002</v>
      </c>
      <c r="AG10" s="83">
        <v>5825523.330000001</v>
      </c>
      <c r="AH10" s="108">
        <v>0</v>
      </c>
      <c r="AI10" s="83">
        <v>1409971.6500000004</v>
      </c>
      <c r="AJ10" s="83">
        <v>2246663.9099999997</v>
      </c>
      <c r="AK10" s="83">
        <v>656794.18000000005</v>
      </c>
      <c r="AL10" s="83">
        <v>744584.40000000014</v>
      </c>
      <c r="AM10" s="83">
        <v>107208.98000000001</v>
      </c>
      <c r="AN10" s="83">
        <v>6156055.0600000005</v>
      </c>
      <c r="AO10" s="108">
        <v>0</v>
      </c>
      <c r="AP10" s="83">
        <v>1552948.4200000006</v>
      </c>
      <c r="AQ10" s="83">
        <v>2324697.3000000017</v>
      </c>
      <c r="AR10" s="83">
        <v>742392.97</v>
      </c>
      <c r="AS10" s="83">
        <v>922880.28999999992</v>
      </c>
      <c r="AT10" s="83">
        <v>136197.09999999995</v>
      </c>
      <c r="AU10" s="83">
        <v>6631773.3099999987</v>
      </c>
      <c r="AV10" s="108"/>
      <c r="AW10" s="83">
        <v>1266940.2699999998</v>
      </c>
      <c r="AX10" s="83">
        <v>1878235.55</v>
      </c>
      <c r="AY10" s="83">
        <v>607357.54999999993</v>
      </c>
      <c r="AZ10" s="83">
        <v>807322.18</v>
      </c>
      <c r="BA10" s="83">
        <v>118859.20999999999</v>
      </c>
      <c r="BB10" s="83">
        <v>5545361.9000000004</v>
      </c>
      <c r="BC10" s="108"/>
    </row>
    <row r="11" spans="1:55">
      <c r="B11" s="102"/>
      <c r="C11" s="103"/>
      <c r="D11" s="83"/>
      <c r="E11" s="83"/>
      <c r="F11" s="104"/>
      <c r="G11" s="104"/>
      <c r="H11" s="105"/>
      <c r="I11" s="83"/>
      <c r="J11" s="83"/>
      <c r="K11" s="106"/>
      <c r="L11" s="107"/>
      <c r="M11" s="106"/>
      <c r="N11" s="83"/>
      <c r="O11" s="107"/>
      <c r="P11" s="106"/>
      <c r="Q11" s="83"/>
      <c r="R11" s="106"/>
      <c r="S11" s="106"/>
      <c r="T11" s="106"/>
      <c r="U11" s="106"/>
      <c r="V11" s="83"/>
      <c r="X11" s="106"/>
      <c r="Y11" s="106"/>
      <c r="Z11" s="106"/>
      <c r="AA11" s="106"/>
      <c r="AB11" s="83"/>
      <c r="AC11" s="83"/>
      <c r="AD11" s="83"/>
      <c r="AE11" s="83"/>
      <c r="AF11" s="83"/>
      <c r="AG11" s="83"/>
      <c r="AH11" s="108"/>
      <c r="AI11" s="83"/>
      <c r="AJ11" s="83"/>
      <c r="AK11" s="83"/>
      <c r="AL11" s="83"/>
      <c r="AM11" s="83"/>
      <c r="AN11" s="83"/>
      <c r="AO11" s="108"/>
      <c r="AP11" s="83"/>
      <c r="AQ11" s="83"/>
      <c r="AR11" s="83"/>
      <c r="AS11" s="83"/>
      <c r="AT11" s="83"/>
      <c r="AU11" s="83"/>
      <c r="AV11" s="108"/>
      <c r="AW11" s="83"/>
      <c r="AX11" s="83"/>
      <c r="AY11" s="83"/>
      <c r="AZ11" s="83"/>
      <c r="BA11" s="83"/>
      <c r="BB11" s="83"/>
      <c r="BC11" s="108"/>
    </row>
    <row r="12" spans="1:55">
      <c r="B12" s="87" t="s">
        <v>226</v>
      </c>
      <c r="C12" s="88"/>
      <c r="D12" s="98">
        <f>SUM(D13:D28)</f>
        <v>90325879.729999989</v>
      </c>
      <c r="E12" s="98">
        <f t="shared" ref="E12:Q12" si="16">SUM(E13:E27)</f>
        <v>81523981.399999991</v>
      </c>
      <c r="F12" s="99">
        <f t="shared" si="9"/>
        <v>171849861.13</v>
      </c>
      <c r="G12" s="99">
        <f>SUM(G13:G28)</f>
        <v>172526005.5</v>
      </c>
      <c r="H12" s="99">
        <f>F12-G12</f>
        <v>-676144.37000000477</v>
      </c>
      <c r="I12" s="98">
        <f t="shared" si="16"/>
        <v>22670205.860000003</v>
      </c>
      <c r="J12" s="98">
        <f t="shared" si="16"/>
        <v>36278583.670000002</v>
      </c>
      <c r="K12" s="100">
        <f t="shared" si="11"/>
        <v>58948789.530000001</v>
      </c>
      <c r="L12" s="100">
        <f>SUM(L13:L28)</f>
        <v>58948789.530000001</v>
      </c>
      <c r="M12" s="100">
        <f t="shared" si="12"/>
        <v>0</v>
      </c>
      <c r="N12" s="98">
        <f>SUM(N13:N27)</f>
        <v>73793396.219999984</v>
      </c>
      <c r="O12" s="100">
        <f>SUM(O13:O28)</f>
        <v>73793396.220000014</v>
      </c>
      <c r="P12" s="100">
        <f t="shared" si="13"/>
        <v>0</v>
      </c>
      <c r="Q12" s="98">
        <f t="shared" si="16"/>
        <v>332921329.35000002</v>
      </c>
      <c r="R12" s="100">
        <f>SUM(R13:R28)</f>
        <v>77434229.5</v>
      </c>
      <c r="S12" s="100">
        <f>SUM(S13:S28)</f>
        <v>114754052.48000002</v>
      </c>
      <c r="T12" s="100">
        <f>SUM(T13:T28)</f>
        <v>143154492.06999999</v>
      </c>
      <c r="U12" s="100">
        <f>Q12-R12-S12-T12</f>
        <v>-2421444.6999999881</v>
      </c>
      <c r="V12" s="98">
        <f>SUM(V13:V28)</f>
        <v>69681416.519999996</v>
      </c>
      <c r="W12" s="100">
        <f t="shared" ref="W12:Z12" si="17">SUM(W13:W28)</f>
        <v>0</v>
      </c>
      <c r="X12" s="100">
        <f t="shared" si="17"/>
        <v>0</v>
      </c>
      <c r="Y12" s="100">
        <f t="shared" si="17"/>
        <v>0</v>
      </c>
      <c r="Z12" s="100">
        <f t="shared" si="17"/>
        <v>0</v>
      </c>
      <c r="AA12" s="100">
        <f t="shared" si="14"/>
        <v>69681416.519999996</v>
      </c>
      <c r="AB12" s="98">
        <f>SUM(AB13:AB28)</f>
        <v>82613339.349999964</v>
      </c>
      <c r="AC12" s="98">
        <f t="shared" ref="AC12:AE12" si="18">SUM(AC13:AC27)</f>
        <v>74285445.490000024</v>
      </c>
      <c r="AD12" s="98">
        <f t="shared" si="18"/>
        <v>21456759.830000002</v>
      </c>
      <c r="AE12" s="98">
        <f t="shared" si="18"/>
        <v>35091903.710000008</v>
      </c>
      <c r="AF12" s="98">
        <f>SUM(AF13:AF27)</f>
        <v>71908522.819999963</v>
      </c>
      <c r="AG12" s="98">
        <f t="shared" ref="AG12" si="19">SUM(AG13:AG27)</f>
        <v>308720993.48999995</v>
      </c>
      <c r="AH12" s="101">
        <f>SUM(AH13:AH28)</f>
        <v>134245852.28</v>
      </c>
      <c r="AI12" s="98">
        <f>SUM(AI13:AI28)</f>
        <v>88413898.379999995</v>
      </c>
      <c r="AJ12" s="98">
        <f t="shared" ref="AJ12:AL12" si="20">SUM(AJ13:AJ27)</f>
        <v>77954228.250000015</v>
      </c>
      <c r="AK12" s="98">
        <f t="shared" si="20"/>
        <v>24855287.679999996</v>
      </c>
      <c r="AL12" s="98">
        <f t="shared" si="20"/>
        <v>39088568.849999994</v>
      </c>
      <c r="AM12" s="98">
        <f>SUM(AM13:AM27)</f>
        <v>78357813.059999973</v>
      </c>
      <c r="AN12" s="98">
        <f t="shared" ref="AN12" si="21">SUM(AN13:AN27)</f>
        <v>323724698.4799999</v>
      </c>
      <c r="AO12" s="101">
        <f>SUM(AO13:AO28)</f>
        <v>76626581.340000004</v>
      </c>
      <c r="AP12" s="98">
        <f>SUM(AP13:AP28)</f>
        <v>98128427.659999967</v>
      </c>
      <c r="AQ12" s="98">
        <f t="shared" ref="AQ12:AS12" si="22">SUM(AQ13:AQ27)</f>
        <v>90233197.019999981</v>
      </c>
      <c r="AR12" s="98">
        <f t="shared" si="22"/>
        <v>32441339.520000007</v>
      </c>
      <c r="AS12" s="98">
        <f t="shared" si="22"/>
        <v>47888637.640000015</v>
      </c>
      <c r="AT12" s="98">
        <f>SUM(AT13:AT27)</f>
        <v>96110158.40000008</v>
      </c>
      <c r="AU12" s="98">
        <f t="shared" ref="AU12" si="23">SUM(AU13:AU27)</f>
        <v>381268017.03999996</v>
      </c>
      <c r="AV12" s="101">
        <f>SUM(AV13:AV28)</f>
        <v>74421871.989999995</v>
      </c>
      <c r="AW12" s="98">
        <f>SUM(AW13:AW28)</f>
        <v>68337142.689999938</v>
      </c>
      <c r="AX12" s="98">
        <f t="shared" ref="AX12:AZ12" si="24">SUM(AX13:AX27)</f>
        <v>57944637.659999974</v>
      </c>
      <c r="AY12" s="98">
        <f t="shared" si="24"/>
        <v>24527389.530000012</v>
      </c>
      <c r="AZ12" s="98">
        <f t="shared" si="24"/>
        <v>36839326.760000028</v>
      </c>
      <c r="BA12" s="98">
        <f>SUM(BA13:BA27)</f>
        <v>55075582.289999984</v>
      </c>
      <c r="BB12" s="98">
        <f t="shared" ref="BB12" si="25">SUM(BB13:BB27)</f>
        <v>233480870.91999999</v>
      </c>
      <c r="BC12" s="101">
        <f>SUM(BC13:BC28)</f>
        <v>59618167.57</v>
      </c>
    </row>
    <row r="13" spans="1:55">
      <c r="A13" s="80" t="s">
        <v>2</v>
      </c>
      <c r="B13" s="102">
        <v>103</v>
      </c>
      <c r="C13" s="103" t="s">
        <v>71</v>
      </c>
      <c r="D13" s="83">
        <v>295997.54000000004</v>
      </c>
      <c r="E13" s="83">
        <v>246174.99000000002</v>
      </c>
      <c r="F13" s="104">
        <f t="shared" si="9"/>
        <v>542172.53</v>
      </c>
      <c r="G13" s="104">
        <v>542172.53</v>
      </c>
      <c r="H13" s="105">
        <f t="shared" ref="H13:H28" si="26">F13-G13</f>
        <v>0</v>
      </c>
      <c r="I13" s="83">
        <v>75834.23</v>
      </c>
      <c r="J13" s="83">
        <v>58757.020000000004</v>
      </c>
      <c r="K13" s="106">
        <f t="shared" si="11"/>
        <v>134591.25</v>
      </c>
      <c r="L13" s="107">
        <v>134591.25</v>
      </c>
      <c r="M13" s="106">
        <f t="shared" si="12"/>
        <v>0</v>
      </c>
      <c r="N13" s="83">
        <v>483775.41000000003</v>
      </c>
      <c r="O13" s="107">
        <v>483775.41</v>
      </c>
      <c r="P13" s="106">
        <f t="shared" si="13"/>
        <v>0</v>
      </c>
      <c r="Q13" s="83">
        <v>770968.38000000012</v>
      </c>
      <c r="R13" s="106">
        <v>247692</v>
      </c>
      <c r="S13" s="106">
        <v>222650.04</v>
      </c>
      <c r="T13" s="106">
        <v>323117.44</v>
      </c>
      <c r="U13" s="106">
        <f t="shared" ref="U13:U28" si="27">Q13-R13-S13-T13</f>
        <v>-22491.099999999919</v>
      </c>
      <c r="V13" s="83"/>
      <c r="W13" s="106">
        <v>0</v>
      </c>
      <c r="X13" s="106">
        <v>0</v>
      </c>
      <c r="Y13" s="106">
        <v>0</v>
      </c>
      <c r="Z13" s="106">
        <v>0</v>
      </c>
      <c r="AA13" s="106">
        <f t="shared" si="14"/>
        <v>0</v>
      </c>
      <c r="AB13" s="83">
        <v>198617.95</v>
      </c>
      <c r="AC13" s="83">
        <v>207460.05000000002</v>
      </c>
      <c r="AD13" s="83">
        <v>131250.78</v>
      </c>
      <c r="AE13" s="83">
        <v>59370.559999999998</v>
      </c>
      <c r="AF13" s="83">
        <v>471485.48000000004</v>
      </c>
      <c r="AG13" s="83">
        <v>885108.67999999993</v>
      </c>
      <c r="AH13" s="108"/>
      <c r="AI13" s="83">
        <v>648651.83000000089</v>
      </c>
      <c r="AJ13" s="83">
        <v>695444.89000000188</v>
      </c>
      <c r="AK13" s="83">
        <v>338493.61</v>
      </c>
      <c r="AL13" s="83">
        <v>354214.45000000013</v>
      </c>
      <c r="AM13" s="83">
        <v>918828.67000000039</v>
      </c>
      <c r="AN13" s="83">
        <v>969272.25000000012</v>
      </c>
      <c r="AO13" s="108"/>
      <c r="AP13" s="83">
        <v>1467553.7799999972</v>
      </c>
      <c r="AQ13" s="83">
        <v>1469092.3399999999</v>
      </c>
      <c r="AR13" s="83">
        <v>701856.24000000034</v>
      </c>
      <c r="AS13" s="83">
        <v>820865.30999999959</v>
      </c>
      <c r="AT13" s="83">
        <v>1219108.3700000008</v>
      </c>
      <c r="AU13" s="83">
        <v>1261246.6700000002</v>
      </c>
      <c r="AV13" s="108"/>
      <c r="AW13" s="83">
        <v>1410907.9899999995</v>
      </c>
      <c r="AX13" s="83">
        <v>1043924.3900000002</v>
      </c>
      <c r="AY13" s="83">
        <v>563435.53</v>
      </c>
      <c r="AZ13" s="83">
        <v>666014.68999999959</v>
      </c>
      <c r="BA13" s="83">
        <v>541558.4500000003</v>
      </c>
      <c r="BB13" s="83">
        <v>960291.30999999994</v>
      </c>
      <c r="BC13" s="108"/>
    </row>
    <row r="14" spans="1:55">
      <c r="A14" s="80" t="s">
        <v>2</v>
      </c>
      <c r="B14" s="102">
        <v>107</v>
      </c>
      <c r="C14" s="103" t="s">
        <v>72</v>
      </c>
      <c r="D14" s="83">
        <v>80784.14999999998</v>
      </c>
      <c r="E14" s="83">
        <v>84456.12999999999</v>
      </c>
      <c r="F14" s="104">
        <f t="shared" si="9"/>
        <v>165240.27999999997</v>
      </c>
      <c r="G14" s="104">
        <v>165240.28</v>
      </c>
      <c r="H14" s="105">
        <f t="shared" si="26"/>
        <v>0</v>
      </c>
      <c r="I14" s="83">
        <v>13265.77</v>
      </c>
      <c r="J14" s="83">
        <v>15437.619999999999</v>
      </c>
      <c r="K14" s="106">
        <f t="shared" si="11"/>
        <v>28703.39</v>
      </c>
      <c r="L14" s="107">
        <v>28703.39</v>
      </c>
      <c r="M14" s="106">
        <f t="shared" si="12"/>
        <v>0</v>
      </c>
      <c r="N14" s="83">
        <v>127651.40000000001</v>
      </c>
      <c r="O14" s="107">
        <v>127651.4</v>
      </c>
      <c r="P14" s="106">
        <f t="shared" si="13"/>
        <v>0</v>
      </c>
      <c r="Q14" s="83">
        <v>545657.87000000011</v>
      </c>
      <c r="R14" s="106">
        <v>108064.83</v>
      </c>
      <c r="S14" s="106">
        <v>219243.27</v>
      </c>
      <c r="T14" s="106">
        <v>248701.5</v>
      </c>
      <c r="U14" s="106">
        <f t="shared" si="27"/>
        <v>-30351.729999999894</v>
      </c>
      <c r="V14" s="83"/>
      <c r="W14" s="106">
        <v>0</v>
      </c>
      <c r="X14" s="106">
        <v>0</v>
      </c>
      <c r="Y14" s="106">
        <v>0</v>
      </c>
      <c r="Z14" s="106">
        <v>0</v>
      </c>
      <c r="AA14" s="106">
        <f t="shared" si="14"/>
        <v>0</v>
      </c>
      <c r="AB14" s="83">
        <v>67909.349999999991</v>
      </c>
      <c r="AC14" s="83">
        <v>106946.93</v>
      </c>
      <c r="AD14" s="83">
        <v>12251.330000000002</v>
      </c>
      <c r="AE14" s="83">
        <v>30442.989999999998</v>
      </c>
      <c r="AF14" s="83">
        <v>113596.84000000003</v>
      </c>
      <c r="AG14" s="83">
        <v>579934.99</v>
      </c>
      <c r="AH14" s="108"/>
      <c r="AI14" s="83">
        <v>89961.97</v>
      </c>
      <c r="AJ14" s="83">
        <v>54027.810000000005</v>
      </c>
      <c r="AK14" s="83">
        <v>14397.710000000001</v>
      </c>
      <c r="AL14" s="83">
        <v>32019.1</v>
      </c>
      <c r="AM14" s="83">
        <v>152893.78</v>
      </c>
      <c r="AN14" s="83">
        <v>375135.61999999994</v>
      </c>
      <c r="AO14" s="108"/>
      <c r="AP14" s="83">
        <v>47401.619999999995</v>
      </c>
      <c r="AQ14" s="83">
        <v>85372.83</v>
      </c>
      <c r="AR14" s="83">
        <v>24640.530000000002</v>
      </c>
      <c r="AS14" s="83">
        <v>43182.890000000007</v>
      </c>
      <c r="AT14" s="83">
        <v>96341.58</v>
      </c>
      <c r="AU14" s="83">
        <v>467510.9</v>
      </c>
      <c r="AV14" s="108"/>
      <c r="AW14" s="83">
        <v>69882.110000000015</v>
      </c>
      <c r="AX14" s="83">
        <v>24844.319999999996</v>
      </c>
      <c r="AY14" s="83">
        <v>10605.78</v>
      </c>
      <c r="AZ14" s="83">
        <v>18344.86</v>
      </c>
      <c r="BA14" s="83">
        <v>51304.32</v>
      </c>
      <c r="BB14" s="83">
        <v>450822.07000000007</v>
      </c>
      <c r="BC14" s="108"/>
    </row>
    <row r="15" spans="1:55">
      <c r="A15" s="80" t="s">
        <v>2</v>
      </c>
      <c r="B15" s="102">
        <v>108</v>
      </c>
      <c r="C15" s="103" t="s">
        <v>73</v>
      </c>
      <c r="D15" s="83">
        <v>8336643.7600000035</v>
      </c>
      <c r="E15" s="83">
        <v>7943435.6899999958</v>
      </c>
      <c r="F15" s="104">
        <f t="shared" si="9"/>
        <v>16280079.449999999</v>
      </c>
      <c r="G15" s="104">
        <v>16357995.24</v>
      </c>
      <c r="H15" s="105">
        <f t="shared" si="26"/>
        <v>-77915.790000000969</v>
      </c>
      <c r="I15" s="83">
        <v>2103743.02</v>
      </c>
      <c r="J15" s="83">
        <v>3445754.4499999993</v>
      </c>
      <c r="K15" s="106">
        <f t="shared" si="11"/>
        <v>5549497.4699999988</v>
      </c>
      <c r="L15" s="107">
        <v>5549497.4699999997</v>
      </c>
      <c r="M15" s="106">
        <f t="shared" si="12"/>
        <v>0</v>
      </c>
      <c r="N15" s="83">
        <v>6692430.3699999992</v>
      </c>
      <c r="O15" s="107">
        <v>6692430.3700000001</v>
      </c>
      <c r="P15" s="106">
        <f t="shared" si="13"/>
        <v>0</v>
      </c>
      <c r="Q15" s="83">
        <v>33714250.669999994</v>
      </c>
      <c r="R15" s="106">
        <v>5838746.8799999999</v>
      </c>
      <c r="S15" s="106">
        <v>12047858.74</v>
      </c>
      <c r="T15" s="106">
        <v>16079761.25</v>
      </c>
      <c r="U15" s="106">
        <f t="shared" si="27"/>
        <v>-252116.20000000484</v>
      </c>
      <c r="V15" s="83"/>
      <c r="W15" s="106">
        <v>0</v>
      </c>
      <c r="X15" s="106">
        <v>0</v>
      </c>
      <c r="Y15" s="106">
        <v>0</v>
      </c>
      <c r="Z15" s="106">
        <v>0</v>
      </c>
      <c r="AA15" s="106">
        <f t="shared" si="14"/>
        <v>0</v>
      </c>
      <c r="AB15" s="83">
        <v>7428666.1099999975</v>
      </c>
      <c r="AC15" s="83">
        <v>7229142.8100000108</v>
      </c>
      <c r="AD15" s="83">
        <v>2003649.850000001</v>
      </c>
      <c r="AE15" s="83">
        <v>3230958.0100000012</v>
      </c>
      <c r="AF15" s="83">
        <v>6564972.1399999969</v>
      </c>
      <c r="AG15" s="83">
        <v>30023301.560000002</v>
      </c>
      <c r="AH15" s="108"/>
      <c r="AI15" s="83">
        <v>7505273.9899999984</v>
      </c>
      <c r="AJ15" s="83">
        <v>7157894.599999995</v>
      </c>
      <c r="AK15" s="83">
        <v>2128816.5400000005</v>
      </c>
      <c r="AL15" s="83">
        <v>3481671.689999999</v>
      </c>
      <c r="AM15" s="83">
        <v>6690228.4200000018</v>
      </c>
      <c r="AN15" s="83">
        <v>29392088.239999998</v>
      </c>
      <c r="AO15" s="108"/>
      <c r="AP15" s="83">
        <v>6775528.1399999997</v>
      </c>
      <c r="AQ15" s="83">
        <v>6602954.0599999996</v>
      </c>
      <c r="AR15" s="83">
        <v>2352184.1200000015</v>
      </c>
      <c r="AS15" s="83">
        <v>3528948.3699999987</v>
      </c>
      <c r="AT15" s="83">
        <v>6640071.3000000026</v>
      </c>
      <c r="AU15" s="83">
        <v>26938304.510000002</v>
      </c>
      <c r="AV15" s="108"/>
      <c r="AW15" s="83">
        <v>6503657.6799999932</v>
      </c>
      <c r="AX15" s="83">
        <v>5807713.8399999999</v>
      </c>
      <c r="AY15" s="83">
        <v>2441717.1100000008</v>
      </c>
      <c r="AZ15" s="83">
        <v>3432646.1399999997</v>
      </c>
      <c r="BA15" s="83">
        <v>5275871.7399999974</v>
      </c>
      <c r="BB15" s="83">
        <v>23766548.189999998</v>
      </c>
      <c r="BC15" s="108"/>
    </row>
    <row r="16" spans="1:55">
      <c r="A16" s="80" t="s">
        <v>2</v>
      </c>
      <c r="B16" s="102">
        <v>109</v>
      </c>
      <c r="C16" s="103" t="s">
        <v>74</v>
      </c>
      <c r="D16" s="83">
        <v>1435418.9800000007</v>
      </c>
      <c r="E16" s="83">
        <v>1194471.4699999997</v>
      </c>
      <c r="F16" s="104">
        <f t="shared" si="9"/>
        <v>2629890.4500000002</v>
      </c>
      <c r="G16" s="104">
        <v>2644285.2999999998</v>
      </c>
      <c r="H16" s="105">
        <f t="shared" si="26"/>
        <v>-14394.849999999627</v>
      </c>
      <c r="I16" s="83">
        <v>318548.82</v>
      </c>
      <c r="J16" s="83">
        <v>643158.35999999987</v>
      </c>
      <c r="K16" s="106">
        <f t="shared" si="11"/>
        <v>961707.17999999993</v>
      </c>
      <c r="L16" s="107">
        <v>961707.18</v>
      </c>
      <c r="M16" s="106">
        <f t="shared" si="12"/>
        <v>0</v>
      </c>
      <c r="N16" s="83">
        <v>941171.59000000032</v>
      </c>
      <c r="O16" s="107">
        <v>941171.59</v>
      </c>
      <c r="P16" s="106">
        <f t="shared" si="13"/>
        <v>0</v>
      </c>
      <c r="Q16" s="83">
        <v>5183370.0300000012</v>
      </c>
      <c r="R16" s="106">
        <v>919346.85</v>
      </c>
      <c r="S16" s="106">
        <v>1593456.77</v>
      </c>
      <c r="T16" s="106">
        <v>2706958.01</v>
      </c>
      <c r="U16" s="106">
        <f t="shared" si="27"/>
        <v>-36391.59999999823</v>
      </c>
      <c r="V16" s="83"/>
      <c r="W16" s="106">
        <v>0</v>
      </c>
      <c r="X16" s="106">
        <v>0</v>
      </c>
      <c r="Y16" s="106">
        <v>0</v>
      </c>
      <c r="Z16" s="106">
        <v>0</v>
      </c>
      <c r="AA16" s="106">
        <f t="shared" si="14"/>
        <v>0</v>
      </c>
      <c r="AB16" s="83">
        <v>1063725.22</v>
      </c>
      <c r="AC16" s="83">
        <v>805551.24999999988</v>
      </c>
      <c r="AD16" s="83">
        <v>244237.19000000009</v>
      </c>
      <c r="AE16" s="83">
        <v>518264.04</v>
      </c>
      <c r="AF16" s="83">
        <v>734264.00999999966</v>
      </c>
      <c r="AG16" s="83">
        <v>3765321.0300000003</v>
      </c>
      <c r="AH16" s="108"/>
      <c r="AI16" s="83">
        <v>1845765.7599999995</v>
      </c>
      <c r="AJ16" s="83">
        <v>1336385.1200000003</v>
      </c>
      <c r="AK16" s="83">
        <v>460827.50999999989</v>
      </c>
      <c r="AL16" s="83">
        <v>863126.95999999985</v>
      </c>
      <c r="AM16" s="83">
        <v>1142904.5500000005</v>
      </c>
      <c r="AN16" s="83">
        <v>6108176.1699999999</v>
      </c>
      <c r="AO16" s="108"/>
      <c r="AP16" s="83">
        <v>2252039.1899999995</v>
      </c>
      <c r="AQ16" s="83">
        <v>1947110.6599999997</v>
      </c>
      <c r="AR16" s="83">
        <v>665153.78000000014</v>
      </c>
      <c r="AS16" s="83">
        <v>1242016.45</v>
      </c>
      <c r="AT16" s="83">
        <v>1497533.8499999996</v>
      </c>
      <c r="AU16" s="83">
        <v>8157203.71</v>
      </c>
      <c r="AV16" s="108"/>
      <c r="AW16" s="83">
        <v>1964919.7199999995</v>
      </c>
      <c r="AX16" s="83">
        <v>1490060.6699999995</v>
      </c>
      <c r="AY16" s="83">
        <v>608440.13</v>
      </c>
      <c r="AZ16" s="83">
        <v>1078507.9300000002</v>
      </c>
      <c r="BA16" s="83">
        <v>1382245.1000000006</v>
      </c>
      <c r="BB16" s="83">
        <v>7313838.3300000001</v>
      </c>
      <c r="BC16" s="108"/>
    </row>
    <row r="17" spans="1:58">
      <c r="A17" s="80" t="s">
        <v>2</v>
      </c>
      <c r="B17" s="102">
        <v>110</v>
      </c>
      <c r="C17" s="103" t="s">
        <v>75</v>
      </c>
      <c r="D17" s="83">
        <v>4917641.2899999991</v>
      </c>
      <c r="E17" s="83">
        <v>4763501.9900000049</v>
      </c>
      <c r="F17" s="104">
        <f t="shared" si="9"/>
        <v>9681143.2800000049</v>
      </c>
      <c r="G17" s="104">
        <v>9728116.5999999996</v>
      </c>
      <c r="H17" s="105">
        <f t="shared" si="26"/>
        <v>-46973.31999999471</v>
      </c>
      <c r="I17" s="83">
        <v>1262018.5099999998</v>
      </c>
      <c r="J17" s="83">
        <v>2043578.46</v>
      </c>
      <c r="K17" s="106">
        <f t="shared" si="11"/>
        <v>3305596.9699999997</v>
      </c>
      <c r="L17" s="107">
        <v>3305596.97</v>
      </c>
      <c r="M17" s="106">
        <f t="shared" si="12"/>
        <v>0</v>
      </c>
      <c r="N17" s="83">
        <v>3810953.1499999994</v>
      </c>
      <c r="O17" s="107">
        <v>3810953.15</v>
      </c>
      <c r="P17" s="106">
        <f t="shared" si="13"/>
        <v>0</v>
      </c>
      <c r="Q17" s="83">
        <v>20870459.920000002</v>
      </c>
      <c r="R17" s="106">
        <v>3441596.83</v>
      </c>
      <c r="S17" s="106">
        <v>7581856.4800000004</v>
      </c>
      <c r="T17" s="106">
        <v>9998859.3200000003</v>
      </c>
      <c r="U17" s="106">
        <f t="shared" si="27"/>
        <v>-151852.70999999717</v>
      </c>
      <c r="V17" s="83"/>
      <c r="W17" s="106">
        <v>0</v>
      </c>
      <c r="X17" s="106">
        <v>0</v>
      </c>
      <c r="Y17" s="106">
        <v>0</v>
      </c>
      <c r="Z17" s="106">
        <v>0</v>
      </c>
      <c r="AA17" s="106">
        <f t="shared" si="14"/>
        <v>0</v>
      </c>
      <c r="AB17" s="83">
        <v>5069542.2999999942</v>
      </c>
      <c r="AC17" s="83">
        <v>4917679.8699999982</v>
      </c>
      <c r="AD17" s="83">
        <v>1351693.4599999993</v>
      </c>
      <c r="AE17" s="83">
        <v>2227596.9200000009</v>
      </c>
      <c r="AF17" s="83">
        <v>4143375.049999997</v>
      </c>
      <c r="AG17" s="83">
        <v>20950242.68</v>
      </c>
      <c r="AH17" s="108"/>
      <c r="AI17" s="83">
        <v>5322273.6999999955</v>
      </c>
      <c r="AJ17" s="83">
        <v>5052694.5100000026</v>
      </c>
      <c r="AK17" s="83">
        <v>1511824.3300000003</v>
      </c>
      <c r="AL17" s="83">
        <v>2508135.5799999973</v>
      </c>
      <c r="AM17" s="83">
        <v>4425281.2000000011</v>
      </c>
      <c r="AN17" s="83">
        <v>21558551.029999994</v>
      </c>
      <c r="AO17" s="108"/>
      <c r="AP17" s="83">
        <v>5188945.96</v>
      </c>
      <c r="AQ17" s="83">
        <v>4965884.2399999993</v>
      </c>
      <c r="AR17" s="83">
        <v>1750831.7599999998</v>
      </c>
      <c r="AS17" s="83">
        <v>2734662.4799999991</v>
      </c>
      <c r="AT17" s="83">
        <v>4692439.6699999934</v>
      </c>
      <c r="AU17" s="83">
        <v>21524800.120000001</v>
      </c>
      <c r="AV17" s="108"/>
      <c r="AW17" s="83">
        <v>3940536.7199999988</v>
      </c>
      <c r="AX17" s="83">
        <v>3551101.8300000029</v>
      </c>
      <c r="AY17" s="83">
        <v>1445834.87</v>
      </c>
      <c r="AZ17" s="83">
        <v>2158420.0699999998</v>
      </c>
      <c r="BA17" s="83">
        <v>3153417.0999999987</v>
      </c>
      <c r="BB17" s="83">
        <v>15325609.09</v>
      </c>
      <c r="BC17" s="108"/>
    </row>
    <row r="18" spans="1:58">
      <c r="A18" s="80" t="s">
        <v>2</v>
      </c>
      <c r="B18" s="102">
        <v>151</v>
      </c>
      <c r="C18" s="103" t="s">
        <v>76</v>
      </c>
      <c r="D18" s="83">
        <v>24281455.630000014</v>
      </c>
      <c r="E18" s="83">
        <v>19735942.400000028</v>
      </c>
      <c r="F18" s="104">
        <f t="shared" si="9"/>
        <v>44017398.030000046</v>
      </c>
      <c r="G18" s="104">
        <v>44216158.039999999</v>
      </c>
      <c r="H18" s="105">
        <f t="shared" si="26"/>
        <v>-198760.00999995321</v>
      </c>
      <c r="I18" s="83">
        <v>6163874.9800000014</v>
      </c>
      <c r="J18" s="83">
        <v>10025685.979999999</v>
      </c>
      <c r="K18" s="106">
        <f t="shared" si="11"/>
        <v>16189560.960000001</v>
      </c>
      <c r="L18" s="107">
        <v>16189560.960000001</v>
      </c>
      <c r="M18" s="106">
        <f t="shared" si="12"/>
        <v>0</v>
      </c>
      <c r="N18" s="83">
        <v>15799118.80000001</v>
      </c>
      <c r="O18" s="107">
        <v>15799118.800000001</v>
      </c>
      <c r="P18" s="106">
        <f t="shared" si="13"/>
        <v>0</v>
      </c>
      <c r="Q18" s="83">
        <v>87041886.660000011</v>
      </c>
      <c r="R18" s="106">
        <v>15951092.09</v>
      </c>
      <c r="S18" s="106">
        <v>30843915.940000001</v>
      </c>
      <c r="T18" s="106">
        <v>40866594.840000004</v>
      </c>
      <c r="U18" s="106">
        <f t="shared" si="27"/>
        <v>-619716.20999999344</v>
      </c>
      <c r="V18" s="83"/>
      <c r="W18" s="106">
        <v>0</v>
      </c>
      <c r="X18" s="106">
        <v>0</v>
      </c>
      <c r="Y18" s="106">
        <v>0</v>
      </c>
      <c r="Z18" s="106">
        <v>0</v>
      </c>
      <c r="AA18" s="106">
        <f t="shared" si="14"/>
        <v>0</v>
      </c>
      <c r="AB18" s="83">
        <v>24201723.729999993</v>
      </c>
      <c r="AC18" s="83">
        <v>19734444.600000016</v>
      </c>
      <c r="AD18" s="83">
        <v>6470428.4800000023</v>
      </c>
      <c r="AE18" s="83">
        <v>10574560.690000005</v>
      </c>
      <c r="AF18" s="83">
        <v>16763858.179999996</v>
      </c>
      <c r="AG18" s="83">
        <v>85683392.879999995</v>
      </c>
      <c r="AH18" s="108"/>
      <c r="AI18" s="83">
        <v>25658138.319999982</v>
      </c>
      <c r="AJ18" s="83">
        <v>20443633.250000007</v>
      </c>
      <c r="AK18" s="83">
        <v>7263307.3199999966</v>
      </c>
      <c r="AL18" s="83">
        <v>12048230.649999995</v>
      </c>
      <c r="AM18" s="83">
        <v>17780043.489999991</v>
      </c>
      <c r="AN18" s="83">
        <v>87540286.849999994</v>
      </c>
      <c r="AO18" s="108"/>
      <c r="AP18" s="83">
        <v>21020643.369999994</v>
      </c>
      <c r="AQ18" s="83">
        <v>20271137.149999984</v>
      </c>
      <c r="AR18" s="83">
        <v>7336273.7000000011</v>
      </c>
      <c r="AS18" s="83">
        <v>11953594.760000007</v>
      </c>
      <c r="AT18" s="83">
        <v>18230493.60000002</v>
      </c>
      <c r="AU18" s="83">
        <v>85811383.949999973</v>
      </c>
      <c r="AV18" s="108"/>
      <c r="AW18" s="83">
        <v>16273395.700000003</v>
      </c>
      <c r="AX18" s="83">
        <v>14709611.470000006</v>
      </c>
      <c r="AY18" s="83">
        <v>6216576.4600000018</v>
      </c>
      <c r="AZ18" s="83">
        <v>9404235.0900000017</v>
      </c>
      <c r="BA18" s="83">
        <v>12529009.54000001</v>
      </c>
      <c r="BB18" s="83">
        <v>62511855.760000005</v>
      </c>
      <c r="BC18" s="108"/>
    </row>
    <row r="19" spans="1:58">
      <c r="A19" s="80" t="s">
        <v>2</v>
      </c>
      <c r="B19" s="102">
        <v>152</v>
      </c>
      <c r="C19" s="103" t="s">
        <v>77</v>
      </c>
      <c r="D19" s="83">
        <v>1853</v>
      </c>
      <c r="E19" s="83">
        <v>1055</v>
      </c>
      <c r="F19" s="104">
        <f t="shared" si="9"/>
        <v>2908</v>
      </c>
      <c r="G19" s="104">
        <v>2908</v>
      </c>
      <c r="H19" s="105">
        <f t="shared" si="26"/>
        <v>0</v>
      </c>
      <c r="I19" s="83">
        <v>0</v>
      </c>
      <c r="J19" s="83">
        <v>1199.17</v>
      </c>
      <c r="K19" s="106">
        <f t="shared" si="11"/>
        <v>1199.17</v>
      </c>
      <c r="L19" s="107">
        <v>1199.17</v>
      </c>
      <c r="M19" s="106">
        <f t="shared" si="12"/>
        <v>0</v>
      </c>
      <c r="N19" s="83">
        <v>3900.6000000000004</v>
      </c>
      <c r="O19" s="107">
        <v>3900.6</v>
      </c>
      <c r="P19" s="106">
        <f t="shared" si="13"/>
        <v>0</v>
      </c>
      <c r="Q19" s="83">
        <v>4153.47</v>
      </c>
      <c r="R19" s="106">
        <v>1012.05</v>
      </c>
      <c r="S19" s="106">
        <v>0</v>
      </c>
      <c r="T19" s="106">
        <v>3141.42</v>
      </c>
      <c r="U19" s="106">
        <f t="shared" si="27"/>
        <v>0</v>
      </c>
      <c r="V19" s="83"/>
      <c r="W19" s="106">
        <v>0</v>
      </c>
      <c r="X19" s="106">
        <v>0</v>
      </c>
      <c r="Y19" s="106">
        <v>0</v>
      </c>
      <c r="Z19" s="106">
        <v>0</v>
      </c>
      <c r="AA19" s="106">
        <f t="shared" si="14"/>
        <v>0</v>
      </c>
      <c r="AB19" s="83">
        <v>778.90000000000009</v>
      </c>
      <c r="AC19" s="83">
        <v>0</v>
      </c>
      <c r="AD19" s="83">
        <v>0</v>
      </c>
      <c r="AE19" s="83">
        <v>808</v>
      </c>
      <c r="AF19" s="83">
        <v>3565.68</v>
      </c>
      <c r="AG19" s="83">
        <v>682826.7</v>
      </c>
      <c r="AH19" s="108"/>
      <c r="AI19" s="83"/>
      <c r="AJ19" s="83"/>
      <c r="AK19" s="83"/>
      <c r="AL19" s="83"/>
      <c r="AM19" s="83"/>
      <c r="AN19" s="83"/>
      <c r="AO19" s="108"/>
      <c r="AP19" s="83"/>
      <c r="AQ19" s="83"/>
      <c r="AR19" s="83"/>
      <c r="AS19" s="83"/>
      <c r="AT19" s="83">
        <v>0</v>
      </c>
      <c r="AU19" s="83">
        <v>0</v>
      </c>
      <c r="AV19" s="108"/>
      <c r="AW19" s="83"/>
      <c r="AX19" s="83"/>
      <c r="AY19" s="83"/>
      <c r="AZ19" s="83"/>
      <c r="BA19" s="83"/>
      <c r="BB19" s="83"/>
      <c r="BC19" s="108"/>
    </row>
    <row r="20" spans="1:58">
      <c r="A20" s="80" t="s">
        <v>2</v>
      </c>
      <c r="B20" s="102">
        <v>153</v>
      </c>
      <c r="C20" s="103" t="s">
        <v>78</v>
      </c>
      <c r="D20" s="83">
        <v>5527851.8200000031</v>
      </c>
      <c r="E20" s="83">
        <v>5273043.8899999969</v>
      </c>
      <c r="F20" s="104">
        <f t="shared" si="9"/>
        <v>10800895.710000001</v>
      </c>
      <c r="G20" s="104">
        <v>10853876.539999999</v>
      </c>
      <c r="H20" s="105">
        <f t="shared" si="26"/>
        <v>-52980.829999998212</v>
      </c>
      <c r="I20" s="83">
        <v>1392621.07</v>
      </c>
      <c r="J20" s="83">
        <v>2253033.1800000002</v>
      </c>
      <c r="K20" s="106">
        <f t="shared" si="11"/>
        <v>3645654.25</v>
      </c>
      <c r="L20" s="107">
        <v>3645654.25</v>
      </c>
      <c r="M20" s="106">
        <f t="shared" si="12"/>
        <v>0</v>
      </c>
      <c r="N20" s="83">
        <v>4221946.0200000005</v>
      </c>
      <c r="O20" s="107">
        <v>4221946.0199999996</v>
      </c>
      <c r="P20" s="106">
        <f t="shared" si="13"/>
        <v>0</v>
      </c>
      <c r="Q20" s="83">
        <v>23413268.480000004</v>
      </c>
      <c r="R20" s="106">
        <v>4453192.04</v>
      </c>
      <c r="S20" s="106">
        <v>8224909.7400000002</v>
      </c>
      <c r="T20" s="106">
        <v>10900399.060000001</v>
      </c>
      <c r="U20" s="106">
        <f t="shared" si="27"/>
        <v>-165232.35999999568</v>
      </c>
      <c r="V20" s="83"/>
      <c r="W20" s="106">
        <v>0</v>
      </c>
      <c r="X20" s="106">
        <v>0</v>
      </c>
      <c r="Y20" s="106">
        <v>0</v>
      </c>
      <c r="Z20" s="106">
        <v>0</v>
      </c>
      <c r="AA20" s="106">
        <f t="shared" si="14"/>
        <v>0</v>
      </c>
      <c r="AB20" s="83">
        <v>5594241.7399999984</v>
      </c>
      <c r="AC20" s="83">
        <v>5360264.8300000038</v>
      </c>
      <c r="AD20" s="83">
        <v>1484253.0900000003</v>
      </c>
      <c r="AE20" s="83">
        <v>2422193.2800000003</v>
      </c>
      <c r="AF20" s="83">
        <v>4557786.1500000004</v>
      </c>
      <c r="AG20" s="83">
        <v>23362918.420000002</v>
      </c>
      <c r="AH20" s="108"/>
      <c r="AI20" s="83">
        <v>5980110.0199999986</v>
      </c>
      <c r="AJ20" s="83">
        <v>5615279.5900000017</v>
      </c>
      <c r="AK20" s="83">
        <v>1688825.1700000004</v>
      </c>
      <c r="AL20" s="83">
        <v>2780124.17</v>
      </c>
      <c r="AM20" s="83">
        <v>4880945.8599999966</v>
      </c>
      <c r="AN20" s="83">
        <v>24208934.59</v>
      </c>
      <c r="AO20" s="108"/>
      <c r="AP20" s="83">
        <v>5768668.2800000003</v>
      </c>
      <c r="AQ20" s="83">
        <v>5455852.8500000043</v>
      </c>
      <c r="AR20" s="83">
        <v>1899339.2599999995</v>
      </c>
      <c r="AS20" s="83">
        <v>3003784.7500000014</v>
      </c>
      <c r="AT20" s="83">
        <v>5044662.8199999947</v>
      </c>
      <c r="AU20" s="83">
        <v>23589193.490000002</v>
      </c>
      <c r="AV20" s="108"/>
      <c r="AW20" s="83">
        <v>4420296.3599999994</v>
      </c>
      <c r="AX20" s="83">
        <v>3935507.6199999996</v>
      </c>
      <c r="AY20" s="83">
        <v>1614106.6900000013</v>
      </c>
      <c r="AZ20" s="83">
        <v>2380432.0600000005</v>
      </c>
      <c r="BA20" s="83">
        <v>3434380.0399999986</v>
      </c>
      <c r="BB20" s="83">
        <v>17006507.280000001</v>
      </c>
      <c r="BC20" s="108"/>
    </row>
    <row r="21" spans="1:58">
      <c r="A21" s="80" t="s">
        <v>2</v>
      </c>
      <c r="B21" s="102">
        <v>154</v>
      </c>
      <c r="C21" s="103" t="s">
        <v>79</v>
      </c>
      <c r="D21" s="83">
        <v>7294258.0600000052</v>
      </c>
      <c r="E21" s="83">
        <v>6960007.6099999947</v>
      </c>
      <c r="F21" s="104">
        <f t="shared" si="9"/>
        <v>14254265.67</v>
      </c>
      <c r="G21" s="104">
        <v>14291693.029999999</v>
      </c>
      <c r="H21" s="105">
        <f t="shared" si="26"/>
        <v>-37427.359999999404</v>
      </c>
      <c r="I21" s="83">
        <v>1977706.9499999997</v>
      </c>
      <c r="J21" s="83">
        <v>2887048.7599999993</v>
      </c>
      <c r="K21" s="106">
        <f t="shared" si="11"/>
        <v>4864755.709999999</v>
      </c>
      <c r="L21" s="107">
        <v>4864755.71</v>
      </c>
      <c r="M21" s="106">
        <f t="shared" si="12"/>
        <v>0</v>
      </c>
      <c r="N21" s="83">
        <v>6592580.3399999999</v>
      </c>
      <c r="O21" s="107">
        <v>6592580.3399999999</v>
      </c>
      <c r="P21" s="106">
        <f t="shared" si="13"/>
        <v>0</v>
      </c>
      <c r="Q21" s="83">
        <v>34341422.109999999</v>
      </c>
      <c r="R21" s="106">
        <v>20932792.600000001</v>
      </c>
      <c r="S21" s="106">
        <v>5922785.6799999997</v>
      </c>
      <c r="T21" s="106">
        <v>7553275.6299999999</v>
      </c>
      <c r="U21" s="106">
        <f t="shared" si="27"/>
        <v>-67431.800000001676</v>
      </c>
      <c r="V21" s="83"/>
      <c r="W21" s="106">
        <v>0</v>
      </c>
      <c r="X21" s="106">
        <v>0</v>
      </c>
      <c r="Y21" s="106">
        <v>0</v>
      </c>
      <c r="Z21" s="106">
        <v>0</v>
      </c>
      <c r="AA21" s="106">
        <f t="shared" si="14"/>
        <v>0</v>
      </c>
      <c r="AB21" s="83">
        <v>7522120.7600000007</v>
      </c>
      <c r="AC21" s="83">
        <v>7030827.4000000004</v>
      </c>
      <c r="AD21" s="83">
        <v>2099957.6799999992</v>
      </c>
      <c r="AE21" s="83">
        <v>3078034.26</v>
      </c>
      <c r="AF21" s="83">
        <v>7273679.0699999975</v>
      </c>
      <c r="AG21" s="83">
        <v>37770504.25</v>
      </c>
      <c r="AH21" s="108"/>
      <c r="AI21" s="83">
        <v>8176683.2199999979</v>
      </c>
      <c r="AJ21" s="83">
        <v>7515498.7699999958</v>
      </c>
      <c r="AK21" s="83">
        <v>2416390.8600000003</v>
      </c>
      <c r="AL21" s="83">
        <v>3497479.9699999983</v>
      </c>
      <c r="AM21" s="83">
        <v>8184791.1999999983</v>
      </c>
      <c r="AN21" s="83">
        <v>39281097.589999996</v>
      </c>
      <c r="AO21" s="108"/>
      <c r="AP21" s="83">
        <v>8654405.549999997</v>
      </c>
      <c r="AQ21" s="83">
        <v>7994648.6299999971</v>
      </c>
      <c r="AR21" s="83">
        <v>2920641.1899999995</v>
      </c>
      <c r="AS21" s="83">
        <v>3930138.6000000006</v>
      </c>
      <c r="AT21" s="83">
        <v>8423679.1499999929</v>
      </c>
      <c r="AU21" s="83">
        <v>41958895.68</v>
      </c>
      <c r="AV21" s="108"/>
      <c r="AW21" s="83">
        <v>6719188.9900000002</v>
      </c>
      <c r="AX21" s="83">
        <v>5696542.0000000028</v>
      </c>
      <c r="AY21" s="83">
        <v>2528789.149999999</v>
      </c>
      <c r="AZ21" s="83">
        <v>3225805.9500000025</v>
      </c>
      <c r="BA21" s="83">
        <v>5573979.5399999991</v>
      </c>
      <c r="BB21" s="83">
        <v>34722395.410000011</v>
      </c>
      <c r="BC21" s="108"/>
    </row>
    <row r="22" spans="1:58">
      <c r="A22" s="80" t="s">
        <v>2</v>
      </c>
      <c r="B22" s="102">
        <v>155</v>
      </c>
      <c r="C22" s="103" t="s">
        <v>80</v>
      </c>
      <c r="D22" s="83">
        <v>18114838.789999999</v>
      </c>
      <c r="E22" s="83">
        <v>16288409.149999974</v>
      </c>
      <c r="F22" s="104">
        <f t="shared" si="9"/>
        <v>34403247.939999975</v>
      </c>
      <c r="G22" s="104">
        <v>34521744.579999998</v>
      </c>
      <c r="H22" s="105">
        <f t="shared" si="26"/>
        <v>-118496.64000002295</v>
      </c>
      <c r="I22" s="83">
        <v>4194913.46</v>
      </c>
      <c r="J22" s="83">
        <v>6709772.5000000019</v>
      </c>
      <c r="K22" s="106">
        <f t="shared" si="11"/>
        <v>10904685.960000001</v>
      </c>
      <c r="L22" s="107">
        <v>10904685.960000001</v>
      </c>
      <c r="M22" s="106">
        <f t="shared" si="12"/>
        <v>0</v>
      </c>
      <c r="N22" s="83">
        <v>14116098.359999994</v>
      </c>
      <c r="O22" s="107">
        <v>14116098.359999999</v>
      </c>
      <c r="P22" s="106">
        <f t="shared" si="13"/>
        <v>0</v>
      </c>
      <c r="Q22" s="83">
        <v>58423119.600000009</v>
      </c>
      <c r="R22" s="106">
        <v>9154346.4900000002</v>
      </c>
      <c r="S22" s="106">
        <v>24137425.489999998</v>
      </c>
      <c r="T22" s="106">
        <v>25858075.670000002</v>
      </c>
      <c r="U22" s="106">
        <f t="shared" si="27"/>
        <v>-726728.04999999329</v>
      </c>
      <c r="V22" s="83"/>
      <c r="W22" s="106">
        <v>0</v>
      </c>
      <c r="X22" s="106">
        <v>0</v>
      </c>
      <c r="Y22" s="106">
        <v>0</v>
      </c>
      <c r="Z22" s="106">
        <v>0</v>
      </c>
      <c r="AA22" s="106">
        <f t="shared" si="14"/>
        <v>0</v>
      </c>
      <c r="AB22" s="83">
        <v>11521946.029999997</v>
      </c>
      <c r="AC22" s="83">
        <v>10138009.539999999</v>
      </c>
      <c r="AD22" s="83">
        <v>2232058.98</v>
      </c>
      <c r="AE22" s="83">
        <v>4372817.9600000009</v>
      </c>
      <c r="AF22" s="83">
        <v>8668428.6099999994</v>
      </c>
      <c r="AG22" s="83">
        <v>37479451.670000002</v>
      </c>
      <c r="AH22" s="108"/>
      <c r="AI22" s="83">
        <v>11850094.860000001</v>
      </c>
      <c r="AJ22" s="83">
        <v>10571775.630000003</v>
      </c>
      <c r="AK22" s="83">
        <v>2930028.7300000009</v>
      </c>
      <c r="AL22" s="83">
        <v>3881461</v>
      </c>
      <c r="AM22" s="83">
        <v>9856792.6799999941</v>
      </c>
      <c r="AN22" s="83">
        <v>47741459.06000001</v>
      </c>
      <c r="AO22" s="108"/>
      <c r="AP22" s="83">
        <v>26136722.409999978</v>
      </c>
      <c r="AQ22" s="83">
        <v>22136275.57999998</v>
      </c>
      <c r="AR22" s="83">
        <v>7786369.6399999997</v>
      </c>
      <c r="AS22" s="83">
        <v>10521744.24</v>
      </c>
      <c r="AT22" s="83">
        <v>26893536.840000056</v>
      </c>
      <c r="AU22" s="83">
        <v>109599936.05999999</v>
      </c>
      <c r="AV22" s="108"/>
      <c r="AW22" s="83">
        <v>10926898.309999987</v>
      </c>
      <c r="AX22" s="83">
        <v>8059072.450000002</v>
      </c>
      <c r="AY22" s="83">
        <v>3053677.4400000009</v>
      </c>
      <c r="AZ22" s="83">
        <v>6296167.6000000052</v>
      </c>
      <c r="BA22" s="83">
        <v>7846391.7700000005</v>
      </c>
      <c r="BB22" s="83">
        <v>26372541.139999997</v>
      </c>
      <c r="BC22" s="108"/>
    </row>
    <row r="23" spans="1:58">
      <c r="A23" s="80" t="s">
        <v>2</v>
      </c>
      <c r="B23" s="102">
        <v>156</v>
      </c>
      <c r="C23" s="103" t="s">
        <v>81</v>
      </c>
      <c r="D23" s="83">
        <v>1369040.2899999993</v>
      </c>
      <c r="E23" s="83">
        <v>1406364.1199999992</v>
      </c>
      <c r="F23" s="104">
        <f t="shared" si="9"/>
        <v>2775404.4099999983</v>
      </c>
      <c r="G23" s="104">
        <v>2779531.4</v>
      </c>
      <c r="H23" s="105">
        <f t="shared" si="26"/>
        <v>-4126.9900000016205</v>
      </c>
      <c r="I23" s="83">
        <v>393837.23999999993</v>
      </c>
      <c r="J23" s="83">
        <v>660939.54999999981</v>
      </c>
      <c r="K23" s="106">
        <f t="shared" si="11"/>
        <v>1054776.7899999998</v>
      </c>
      <c r="L23" s="107">
        <v>1054776.79</v>
      </c>
      <c r="M23" s="106">
        <f t="shared" si="12"/>
        <v>0</v>
      </c>
      <c r="N23" s="83">
        <v>1675355.7399999991</v>
      </c>
      <c r="O23" s="107">
        <v>1675355.74</v>
      </c>
      <c r="P23" s="106">
        <f t="shared" si="13"/>
        <v>0</v>
      </c>
      <c r="Q23" s="83">
        <v>6460143.7100000009</v>
      </c>
      <c r="R23" s="106">
        <v>2686792.44</v>
      </c>
      <c r="S23" s="106">
        <v>2053591.61</v>
      </c>
      <c r="T23" s="106">
        <v>1725124.08</v>
      </c>
      <c r="U23" s="106">
        <f t="shared" si="27"/>
        <v>-5364.419999999227</v>
      </c>
      <c r="V23" s="83"/>
      <c r="W23" s="106">
        <v>0</v>
      </c>
      <c r="X23" s="106">
        <v>0</v>
      </c>
      <c r="Y23" s="106">
        <v>0</v>
      </c>
      <c r="Z23" s="106">
        <v>0</v>
      </c>
      <c r="AA23" s="106">
        <f t="shared" si="14"/>
        <v>0</v>
      </c>
      <c r="AB23" s="83">
        <v>1382477.4899999991</v>
      </c>
      <c r="AC23" s="83">
        <v>1373222.48</v>
      </c>
      <c r="AD23" s="83">
        <v>445386.29999999987</v>
      </c>
      <c r="AE23" s="83">
        <v>698377.86999999988</v>
      </c>
      <c r="AF23" s="83">
        <v>1927722.9799999997</v>
      </c>
      <c r="AG23" s="83">
        <v>6508470.1099999994</v>
      </c>
      <c r="AH23" s="108"/>
      <c r="AI23" s="83">
        <v>1683437.4399999992</v>
      </c>
      <c r="AJ23" s="83">
        <v>1587291.5000000009</v>
      </c>
      <c r="AK23" s="83">
        <v>508962.65000000014</v>
      </c>
      <c r="AL23" s="83">
        <v>838869.39000000025</v>
      </c>
      <c r="AM23" s="83">
        <v>2183262.0400000005</v>
      </c>
      <c r="AN23" s="83">
        <v>5169681.9399999995</v>
      </c>
      <c r="AO23" s="108"/>
      <c r="AP23" s="83">
        <v>1210259.18</v>
      </c>
      <c r="AQ23" s="83">
        <v>1241682.29</v>
      </c>
      <c r="AR23" s="83">
        <v>383358.72000000009</v>
      </c>
      <c r="AS23" s="83">
        <v>676794.67000000051</v>
      </c>
      <c r="AT23" s="83">
        <v>1739413.9700000016</v>
      </c>
      <c r="AU23" s="83">
        <v>3659552.7499999991</v>
      </c>
      <c r="AV23" s="108"/>
      <c r="AW23" s="83">
        <v>1088347.8900000006</v>
      </c>
      <c r="AX23" s="83">
        <v>932552.10000000114</v>
      </c>
      <c r="AY23" s="83">
        <v>363090.28000000009</v>
      </c>
      <c r="AZ23" s="83">
        <v>652864.38999999955</v>
      </c>
      <c r="BA23" s="83">
        <v>1234080.7700000003</v>
      </c>
      <c r="BB23" s="83">
        <v>3179718.1800000006</v>
      </c>
      <c r="BC23" s="108"/>
    </row>
    <row r="24" spans="1:58">
      <c r="A24" s="80" t="s">
        <v>2</v>
      </c>
      <c r="B24" s="102">
        <v>157</v>
      </c>
      <c r="C24" s="103" t="s">
        <v>82</v>
      </c>
      <c r="D24" s="83">
        <v>14339784.509999981</v>
      </c>
      <c r="E24" s="83">
        <v>13680901.599999987</v>
      </c>
      <c r="F24" s="104">
        <f t="shared" si="9"/>
        <v>28020686.10999997</v>
      </c>
      <c r="G24" s="104">
        <v>28107362.469999999</v>
      </c>
      <c r="H24" s="105">
        <f t="shared" si="26"/>
        <v>-86676.360000029206</v>
      </c>
      <c r="I24" s="83">
        <v>3707251.4200000013</v>
      </c>
      <c r="J24" s="83">
        <v>5764971.9100000001</v>
      </c>
      <c r="K24" s="106">
        <f t="shared" si="11"/>
        <v>9472223.3300000019</v>
      </c>
      <c r="L24" s="107">
        <v>9472223.3300000001</v>
      </c>
      <c r="M24" s="106">
        <f t="shared" si="12"/>
        <v>0</v>
      </c>
      <c r="N24" s="83">
        <v>16160293.899999978</v>
      </c>
      <c r="O24" s="107">
        <v>16160293.9</v>
      </c>
      <c r="P24" s="106">
        <f t="shared" si="13"/>
        <v>-2.2351741790771484E-8</v>
      </c>
      <c r="Q24" s="83">
        <v>40450332.510000005</v>
      </c>
      <c r="R24" s="106">
        <v>8285600.9299999997</v>
      </c>
      <c r="S24" s="106">
        <v>14190317.09</v>
      </c>
      <c r="T24" s="106">
        <v>18134604.219999999</v>
      </c>
      <c r="U24" s="106">
        <f t="shared" si="27"/>
        <v>-160189.729999993</v>
      </c>
      <c r="V24" s="83"/>
      <c r="W24" s="106">
        <v>0</v>
      </c>
      <c r="X24" s="106">
        <v>0</v>
      </c>
      <c r="Y24" s="106">
        <v>0</v>
      </c>
      <c r="Z24" s="106">
        <v>0</v>
      </c>
      <c r="AA24" s="106">
        <f t="shared" si="14"/>
        <v>0</v>
      </c>
      <c r="AB24" s="83">
        <v>14119621.909999991</v>
      </c>
      <c r="AC24" s="83">
        <v>13259401.179999998</v>
      </c>
      <c r="AD24" s="83">
        <v>3815763.0200000009</v>
      </c>
      <c r="AE24" s="83">
        <v>5914682.5699999956</v>
      </c>
      <c r="AF24" s="83">
        <v>17135313.489999987</v>
      </c>
      <c r="AG24" s="83">
        <v>38453840.539999992</v>
      </c>
      <c r="AH24" s="108"/>
      <c r="AI24" s="83">
        <v>14868924.960000016</v>
      </c>
      <c r="AJ24" s="83">
        <v>13576124.830000008</v>
      </c>
      <c r="AK24" s="83">
        <v>4263186.9300000006</v>
      </c>
      <c r="AL24" s="83">
        <v>6549644.25</v>
      </c>
      <c r="AM24" s="83">
        <v>18276153.530000009</v>
      </c>
      <c r="AN24" s="83">
        <v>38472570.069999993</v>
      </c>
      <c r="AO24" s="108"/>
      <c r="AP24" s="83">
        <v>15244328.549999999</v>
      </c>
      <c r="AQ24" s="83">
        <v>13962814.990000006</v>
      </c>
      <c r="AR24" s="83">
        <v>5149366.2600000063</v>
      </c>
      <c r="AS24" s="83">
        <v>7163033.0800000075</v>
      </c>
      <c r="AT24" s="83">
        <v>17630877.550000016</v>
      </c>
      <c r="AU24" s="83">
        <v>37845765.359999999</v>
      </c>
      <c r="AV24" s="108"/>
      <c r="AW24" s="83">
        <v>12025787.929999951</v>
      </c>
      <c r="AX24" s="83">
        <v>10101663.599999968</v>
      </c>
      <c r="AY24" s="83">
        <v>4589461.8600000041</v>
      </c>
      <c r="AZ24" s="83">
        <v>5885475.9400000134</v>
      </c>
      <c r="BA24" s="83">
        <v>11623030.399999976</v>
      </c>
      <c r="BB24" s="83">
        <v>28041984.030000001</v>
      </c>
      <c r="BC24" s="108"/>
    </row>
    <row r="25" spans="1:58">
      <c r="A25" s="80" t="s">
        <v>2</v>
      </c>
      <c r="B25" s="102">
        <v>158</v>
      </c>
      <c r="C25" s="103" t="s">
        <v>83</v>
      </c>
      <c r="D25" s="83">
        <v>240428.91000000006</v>
      </c>
      <c r="E25" s="83">
        <v>145262.62000000002</v>
      </c>
      <c r="F25" s="104">
        <f t="shared" si="9"/>
        <v>385691.53000000009</v>
      </c>
      <c r="G25" s="104">
        <v>385691.53</v>
      </c>
      <c r="H25" s="105">
        <f t="shared" si="26"/>
        <v>0</v>
      </c>
      <c r="I25" s="83">
        <v>49085.2</v>
      </c>
      <c r="J25" s="83">
        <v>94176.039999999979</v>
      </c>
      <c r="K25" s="106">
        <f t="shared" si="11"/>
        <v>143261.24</v>
      </c>
      <c r="L25" s="107">
        <v>143261.24</v>
      </c>
      <c r="M25" s="106">
        <f t="shared" si="12"/>
        <v>0</v>
      </c>
      <c r="N25" s="83">
        <v>103329.15</v>
      </c>
      <c r="O25" s="107">
        <v>103329.15</v>
      </c>
      <c r="P25" s="106">
        <f t="shared" si="13"/>
        <v>0</v>
      </c>
      <c r="Q25" s="83">
        <v>3502693.6100000008</v>
      </c>
      <c r="R25" s="106">
        <v>1162740.6599999999</v>
      </c>
      <c r="S25" s="106">
        <v>1646416.45</v>
      </c>
      <c r="T25" s="106">
        <v>749478.66</v>
      </c>
      <c r="U25" s="106">
        <f t="shared" si="27"/>
        <v>-55942.159999998868</v>
      </c>
      <c r="V25" s="83"/>
      <c r="W25" s="106">
        <v>0</v>
      </c>
      <c r="X25" s="106">
        <v>0</v>
      </c>
      <c r="Y25" s="106">
        <v>0</v>
      </c>
      <c r="Z25" s="106">
        <v>0</v>
      </c>
      <c r="AA25" s="106">
        <f t="shared" si="14"/>
        <v>0</v>
      </c>
      <c r="AB25" s="83">
        <v>308358.88000000012</v>
      </c>
      <c r="AC25" s="83">
        <v>287466.06</v>
      </c>
      <c r="AD25" s="83">
        <v>99487.849999999977</v>
      </c>
      <c r="AE25" s="83">
        <v>153271.79999999996</v>
      </c>
      <c r="AF25" s="83">
        <v>216730.05</v>
      </c>
      <c r="AG25" s="83">
        <v>4021202.74</v>
      </c>
      <c r="AH25" s="108"/>
      <c r="AI25" s="83">
        <v>351735.77000000014</v>
      </c>
      <c r="AJ25" s="83">
        <v>214306.53000000006</v>
      </c>
      <c r="AK25" s="83">
        <v>81746.280000000013</v>
      </c>
      <c r="AL25" s="83">
        <v>143348.93</v>
      </c>
      <c r="AM25" s="83">
        <v>107560.98999999998</v>
      </c>
      <c r="AN25" s="83">
        <v>3509719.84</v>
      </c>
      <c r="AO25" s="108"/>
      <c r="AP25" s="83">
        <v>12025.990000000002</v>
      </c>
      <c r="AQ25" s="83">
        <v>56407.140000000014</v>
      </c>
      <c r="AR25" s="83">
        <v>45314.030000000006</v>
      </c>
      <c r="AS25" s="83">
        <v>8433.0600000000013</v>
      </c>
      <c r="AT25" s="83">
        <v>94127.26</v>
      </c>
      <c r="AU25" s="83">
        <v>1144573.67</v>
      </c>
      <c r="AV25" s="108"/>
      <c r="AW25" s="83">
        <v>2058.5299999999997</v>
      </c>
      <c r="AX25" s="83">
        <v>9044.5499999999993</v>
      </c>
      <c r="AY25" s="83">
        <v>23353.920000000002</v>
      </c>
      <c r="AZ25" s="83">
        <v>10954.58</v>
      </c>
      <c r="BA25" s="83">
        <v>109526.68</v>
      </c>
      <c r="BB25" s="83">
        <v>1007317.04</v>
      </c>
      <c r="BC25" s="108"/>
      <c r="BF25" s="83"/>
    </row>
    <row r="26" spans="1:58">
      <c r="A26" s="80" t="s">
        <v>2</v>
      </c>
      <c r="B26" s="102">
        <v>159</v>
      </c>
      <c r="C26" s="103" t="s">
        <v>84</v>
      </c>
      <c r="D26" s="83">
        <v>3977212.0599999977</v>
      </c>
      <c r="E26" s="83">
        <v>3621484.0200000014</v>
      </c>
      <c r="F26" s="104">
        <f t="shared" si="9"/>
        <v>7598696.0799999991</v>
      </c>
      <c r="G26" s="104">
        <v>7637088.2999999998</v>
      </c>
      <c r="H26" s="105">
        <f t="shared" si="26"/>
        <v>-38392.220000000671</v>
      </c>
      <c r="I26" s="83">
        <v>961215.67999999993</v>
      </c>
      <c r="J26" s="83">
        <v>1614113.7500000005</v>
      </c>
      <c r="K26" s="106">
        <f t="shared" si="11"/>
        <v>2575329.4300000006</v>
      </c>
      <c r="L26" s="107">
        <v>2575329.4300000002</v>
      </c>
      <c r="M26" s="106">
        <f t="shared" si="12"/>
        <v>0</v>
      </c>
      <c r="N26" s="83">
        <v>2784188.2600000021</v>
      </c>
      <c r="O26" s="107">
        <v>2784188.26</v>
      </c>
      <c r="P26" s="106">
        <f t="shared" si="13"/>
        <v>0</v>
      </c>
      <c r="Q26" s="83">
        <v>17407364.800000001</v>
      </c>
      <c r="R26" s="106">
        <v>4181086.48</v>
      </c>
      <c r="S26" s="106">
        <v>5745887.6500000004</v>
      </c>
      <c r="T26" s="106">
        <v>7602579.4000000004</v>
      </c>
      <c r="U26" s="106">
        <f t="shared" si="27"/>
        <v>-122188.73000000045</v>
      </c>
      <c r="V26" s="83"/>
      <c r="W26" s="106">
        <v>0</v>
      </c>
      <c r="X26" s="106">
        <v>0</v>
      </c>
      <c r="Y26" s="106">
        <v>0</v>
      </c>
      <c r="Z26" s="106">
        <v>0</v>
      </c>
      <c r="AA26" s="106">
        <f t="shared" si="14"/>
        <v>0</v>
      </c>
      <c r="AB26" s="83">
        <v>4027636.2600000021</v>
      </c>
      <c r="AC26" s="83">
        <v>3695747.3200000045</v>
      </c>
      <c r="AD26" s="83">
        <v>1022918.7399999999</v>
      </c>
      <c r="AE26" s="83">
        <v>1761455.98</v>
      </c>
      <c r="AF26" s="83">
        <v>3032569.0999999973</v>
      </c>
      <c r="AG26" s="83">
        <v>17930766.719999995</v>
      </c>
      <c r="AH26" s="108"/>
      <c r="AI26" s="83">
        <v>4324743.9199999981</v>
      </c>
      <c r="AJ26" s="83">
        <v>3946887.5299999979</v>
      </c>
      <c r="AK26" s="83">
        <v>1190280.8200000008</v>
      </c>
      <c r="AL26" s="83">
        <v>2044932.7600000002</v>
      </c>
      <c r="AM26" s="83">
        <v>3294166.4400000023</v>
      </c>
      <c r="AN26" s="83">
        <v>18646081.969999999</v>
      </c>
      <c r="AO26" s="108"/>
      <c r="AP26" s="83">
        <v>4265798.5900000017</v>
      </c>
      <c r="AQ26" s="83">
        <v>3909418.25</v>
      </c>
      <c r="AR26" s="83">
        <v>1355256.68</v>
      </c>
      <c r="AS26" s="83">
        <v>2213090.540000001</v>
      </c>
      <c r="AT26" s="83">
        <v>3552771.8</v>
      </c>
      <c r="AU26" s="83">
        <v>18933476.460000001</v>
      </c>
      <c r="AV26" s="108"/>
      <c r="AW26" s="83">
        <v>2943155.9499999988</v>
      </c>
      <c r="AX26" s="83">
        <v>2527511.2299999991</v>
      </c>
      <c r="AY26" s="83">
        <v>1024357.0999999999</v>
      </c>
      <c r="AZ26" s="83">
        <v>1599978.6600000004</v>
      </c>
      <c r="BA26" s="83">
        <v>2174512.2599999979</v>
      </c>
      <c r="BB26" s="83">
        <v>12672022.060000001</v>
      </c>
      <c r="BC26" s="108"/>
      <c r="BF26" s="83"/>
    </row>
    <row r="27" spans="1:58">
      <c r="A27" s="80" t="s">
        <v>2</v>
      </c>
      <c r="B27" s="102">
        <v>160</v>
      </c>
      <c r="C27" s="103" t="s">
        <v>85</v>
      </c>
      <c r="D27" s="83">
        <v>112670.93999999999</v>
      </c>
      <c r="E27" s="83">
        <v>179470.71999999997</v>
      </c>
      <c r="F27" s="104">
        <f t="shared" si="9"/>
        <v>292141.65999999997</v>
      </c>
      <c r="G27" s="104">
        <v>292141.65999999997</v>
      </c>
      <c r="H27" s="105">
        <f t="shared" si="26"/>
        <v>0</v>
      </c>
      <c r="I27" s="83">
        <v>56289.51</v>
      </c>
      <c r="J27" s="83">
        <v>60956.92</v>
      </c>
      <c r="K27" s="106">
        <f t="shared" si="11"/>
        <v>117246.43</v>
      </c>
      <c r="L27" s="107">
        <v>117246.43</v>
      </c>
      <c r="M27" s="106">
        <f t="shared" si="12"/>
        <v>0</v>
      </c>
      <c r="N27" s="83">
        <v>280603.12999999995</v>
      </c>
      <c r="O27" s="107">
        <v>280603.13</v>
      </c>
      <c r="P27" s="106">
        <f t="shared" si="13"/>
        <v>0</v>
      </c>
      <c r="Q27" s="83">
        <v>792237.52999999991</v>
      </c>
      <c r="R27" s="106">
        <v>70126.33</v>
      </c>
      <c r="S27" s="106">
        <v>323737.53000000003</v>
      </c>
      <c r="T27" s="106">
        <v>403821.57</v>
      </c>
      <c r="U27" s="106">
        <f t="shared" si="27"/>
        <v>-5447.9000000000815</v>
      </c>
      <c r="V27" s="83"/>
      <c r="W27" s="106">
        <v>0</v>
      </c>
      <c r="X27" s="106">
        <v>0</v>
      </c>
      <c r="Y27" s="106">
        <v>0</v>
      </c>
      <c r="Z27" s="106">
        <v>0</v>
      </c>
      <c r="AA27" s="106">
        <f t="shared" si="14"/>
        <v>0</v>
      </c>
      <c r="AB27" s="83">
        <v>105972.72000000002</v>
      </c>
      <c r="AC27" s="83">
        <v>139281.17000000001</v>
      </c>
      <c r="AD27" s="83">
        <v>43423.08</v>
      </c>
      <c r="AE27" s="83">
        <v>49068.780000000006</v>
      </c>
      <c r="AF27" s="83">
        <v>301175.99000000005</v>
      </c>
      <c r="AG27" s="83">
        <v>623710.5199999999</v>
      </c>
      <c r="AH27" s="108"/>
      <c r="AI27" s="83">
        <v>108102.62000000001</v>
      </c>
      <c r="AJ27" s="83">
        <v>186983.69</v>
      </c>
      <c r="AK27" s="83">
        <v>58199.219999999987</v>
      </c>
      <c r="AL27" s="83">
        <v>65309.95</v>
      </c>
      <c r="AM27" s="83">
        <v>463960.21000000008</v>
      </c>
      <c r="AN27" s="83">
        <v>751643.26</v>
      </c>
      <c r="AO27" s="108"/>
      <c r="AP27" s="83">
        <v>84107.05</v>
      </c>
      <c r="AQ27" s="83">
        <v>134546.01</v>
      </c>
      <c r="AR27" s="83">
        <v>70753.61</v>
      </c>
      <c r="AS27" s="83">
        <v>48348.44</v>
      </c>
      <c r="AT27" s="83">
        <v>355100.64000000031</v>
      </c>
      <c r="AU27" s="83">
        <v>376173.70999999996</v>
      </c>
      <c r="AV27" s="108"/>
      <c r="AW27" s="83">
        <v>48108.810000000005</v>
      </c>
      <c r="AX27" s="83">
        <v>55487.59</v>
      </c>
      <c r="AY27" s="83">
        <v>43943.21</v>
      </c>
      <c r="AZ27" s="83">
        <v>29478.800000000003</v>
      </c>
      <c r="BA27" s="83">
        <v>146274.58000000002</v>
      </c>
      <c r="BB27" s="83">
        <v>149421.02999999997</v>
      </c>
      <c r="BC27" s="108"/>
    </row>
    <row r="28" spans="1:58">
      <c r="A28" s="80" t="s">
        <v>2</v>
      </c>
      <c r="B28" s="102" t="s">
        <v>86</v>
      </c>
      <c r="C28" s="103" t="s">
        <v>87</v>
      </c>
      <c r="D28" s="83"/>
      <c r="E28" s="83"/>
      <c r="F28" s="104">
        <f t="shared" si="9"/>
        <v>0</v>
      </c>
      <c r="G28" s="104">
        <v>0</v>
      </c>
      <c r="H28" s="105">
        <f t="shared" si="26"/>
        <v>0</v>
      </c>
      <c r="I28" s="83"/>
      <c r="J28" s="83"/>
      <c r="K28" s="106">
        <f t="shared" si="11"/>
        <v>0</v>
      </c>
      <c r="L28" s="107">
        <v>0</v>
      </c>
      <c r="M28" s="106">
        <f t="shared" si="12"/>
        <v>0</v>
      </c>
      <c r="N28" s="83"/>
      <c r="O28" s="107">
        <v>0</v>
      </c>
      <c r="P28" s="106">
        <f t="shared" si="13"/>
        <v>0</v>
      </c>
      <c r="Q28" s="83"/>
      <c r="R28" s="106">
        <v>0</v>
      </c>
      <c r="S28" s="106">
        <v>0</v>
      </c>
      <c r="T28" s="106">
        <v>0</v>
      </c>
      <c r="U28" s="106">
        <f t="shared" si="27"/>
        <v>0</v>
      </c>
      <c r="V28" s="83">
        <v>69681416.519999996</v>
      </c>
      <c r="W28" s="106">
        <v>0</v>
      </c>
      <c r="X28" s="106">
        <v>0</v>
      </c>
      <c r="Y28" s="106">
        <v>0</v>
      </c>
      <c r="Z28" s="106">
        <v>0</v>
      </c>
      <c r="AA28" s="106">
        <f t="shared" si="14"/>
        <v>69681416.519999996</v>
      </c>
      <c r="AB28" s="83"/>
      <c r="AC28" s="83"/>
      <c r="AD28" s="83"/>
      <c r="AE28" s="83"/>
      <c r="AF28" s="83"/>
      <c r="AG28" s="83"/>
      <c r="AH28" s="108">
        <v>134245852.28</v>
      </c>
      <c r="AI28" s="83"/>
      <c r="AJ28" s="83"/>
      <c r="AK28" s="83"/>
      <c r="AL28" s="83"/>
      <c r="AM28" s="83"/>
      <c r="AN28" s="83"/>
      <c r="AO28" s="108">
        <v>76626581.340000004</v>
      </c>
      <c r="AP28" s="83">
        <v>0</v>
      </c>
      <c r="AQ28" s="83"/>
      <c r="AR28" s="83"/>
      <c r="AS28" s="83"/>
      <c r="AT28" s="83"/>
      <c r="AU28" s="83"/>
      <c r="AV28" s="108">
        <v>74421871.989999995</v>
      </c>
      <c r="AW28" s="83"/>
      <c r="AX28" s="83"/>
      <c r="AY28" s="83"/>
      <c r="AZ28" s="83"/>
      <c r="BA28" s="83"/>
      <c r="BB28" s="83"/>
      <c r="BC28" s="108">
        <v>59618167.57</v>
      </c>
    </row>
    <row r="29" spans="1:58">
      <c r="B29" s="102"/>
      <c r="C29" s="103"/>
      <c r="D29" s="83"/>
      <c r="E29" s="83"/>
      <c r="F29" s="104"/>
      <c r="G29" s="104"/>
      <c r="H29" s="105"/>
      <c r="I29" s="83"/>
      <c r="J29" s="83"/>
      <c r="K29" s="106"/>
      <c r="L29" s="107"/>
      <c r="M29" s="106"/>
      <c r="N29" s="83"/>
      <c r="O29" s="107"/>
      <c r="P29" s="106"/>
      <c r="Q29" s="83"/>
      <c r="R29" s="106"/>
      <c r="S29" s="106"/>
      <c r="T29" s="106"/>
      <c r="U29" s="106"/>
      <c r="V29" s="83"/>
      <c r="X29" s="106"/>
      <c r="Y29" s="106"/>
      <c r="Z29" s="106"/>
      <c r="AA29" s="106"/>
      <c r="AB29" s="83"/>
      <c r="AC29" s="83"/>
      <c r="AD29" s="83"/>
      <c r="AE29" s="83"/>
      <c r="AF29" s="83"/>
      <c r="AG29" s="83"/>
      <c r="AH29" s="108"/>
      <c r="AI29" s="83"/>
      <c r="AJ29" s="83"/>
      <c r="AK29" s="83"/>
      <c r="AL29" s="83"/>
      <c r="AM29" s="83"/>
      <c r="AN29" s="83"/>
      <c r="AO29" s="108"/>
      <c r="AP29" s="83"/>
      <c r="AQ29" s="83"/>
      <c r="AR29" s="83"/>
      <c r="AS29" s="83"/>
      <c r="AT29" s="83"/>
      <c r="AU29" s="83"/>
      <c r="AV29" s="108"/>
      <c r="AW29" s="83"/>
      <c r="AX29" s="83"/>
      <c r="AY29" s="83"/>
      <c r="AZ29" s="83"/>
      <c r="BA29" s="83"/>
      <c r="BB29" s="83"/>
      <c r="BC29" s="108"/>
    </row>
    <row r="30" spans="1:58">
      <c r="B30" s="87" t="s">
        <v>227</v>
      </c>
      <c r="C30" s="88"/>
      <c r="D30" s="98">
        <f>SUM(D31)</f>
        <v>57622392.389999948</v>
      </c>
      <c r="E30" s="98">
        <f t="shared" ref="E30:Z30" si="28">SUM(E31)</f>
        <v>36086.320000000007</v>
      </c>
      <c r="F30" s="99">
        <f t="shared" si="9"/>
        <v>57658478.709999949</v>
      </c>
      <c r="G30" s="99">
        <f>SUM(G31)</f>
        <v>58556968.369999997</v>
      </c>
      <c r="H30" s="99">
        <f>F30-G30</f>
        <v>-898489.66000004858</v>
      </c>
      <c r="I30" s="98">
        <f t="shared" si="28"/>
        <v>107582.53000000001</v>
      </c>
      <c r="J30" s="98">
        <f t="shared" si="28"/>
        <v>24525635.530000009</v>
      </c>
      <c r="K30" s="100">
        <f t="shared" si="11"/>
        <v>24633218.06000001</v>
      </c>
      <c r="L30" s="100">
        <f>SUM(L31)</f>
        <v>24633218.059999999</v>
      </c>
      <c r="M30" s="100">
        <f t="shared" si="12"/>
        <v>0</v>
      </c>
      <c r="N30" s="98">
        <f>SUM(N31)</f>
        <v>0</v>
      </c>
      <c r="O30" s="100">
        <f>SUM(O31)</f>
        <v>0</v>
      </c>
      <c r="P30" s="100">
        <f t="shared" si="13"/>
        <v>0</v>
      </c>
      <c r="Q30" s="98">
        <f t="shared" si="28"/>
        <v>0</v>
      </c>
      <c r="R30" s="100">
        <f>SUM(R31)</f>
        <v>0</v>
      </c>
      <c r="S30" s="100">
        <f>SUM(S31)</f>
        <v>0</v>
      </c>
      <c r="T30" s="100">
        <f>SUM(T31)</f>
        <v>0</v>
      </c>
      <c r="U30" s="100">
        <f>Q30-R30-S30-T30</f>
        <v>0</v>
      </c>
      <c r="V30" s="98">
        <f t="shared" si="28"/>
        <v>0</v>
      </c>
      <c r="W30" s="100">
        <f t="shared" si="28"/>
        <v>0</v>
      </c>
      <c r="X30" s="100">
        <f t="shared" si="28"/>
        <v>0</v>
      </c>
      <c r="Y30" s="100">
        <f t="shared" si="28"/>
        <v>0</v>
      </c>
      <c r="Z30" s="100">
        <f t="shared" si="28"/>
        <v>0</v>
      </c>
      <c r="AA30" s="100">
        <f t="shared" si="14"/>
        <v>0</v>
      </c>
      <c r="AB30" s="98">
        <f>SUM(AB31)</f>
        <v>50760938.779999979</v>
      </c>
      <c r="AC30" s="98">
        <f t="shared" ref="AC30:AE30" si="29">SUM(AC31)</f>
        <v>8337.02</v>
      </c>
      <c r="AD30" s="98">
        <f t="shared" si="29"/>
        <v>157582.54</v>
      </c>
      <c r="AE30" s="98">
        <f t="shared" si="29"/>
        <v>28300224.319999997</v>
      </c>
      <c r="AF30" s="98">
        <f>SUM(AF31)</f>
        <v>0</v>
      </c>
      <c r="AG30" s="98">
        <f t="shared" ref="AG30:AH30" si="30">SUM(AG31)</f>
        <v>0</v>
      </c>
      <c r="AH30" s="101">
        <f t="shared" si="30"/>
        <v>0</v>
      </c>
      <c r="AI30" s="98">
        <f>SUM(AI31)</f>
        <v>66964635.619999915</v>
      </c>
      <c r="AJ30" s="98">
        <f t="shared" ref="AJ30:AL30" si="31">SUM(AJ31)</f>
        <v>80237.88</v>
      </c>
      <c r="AK30" s="98">
        <f t="shared" si="31"/>
        <v>236482.94999999998</v>
      </c>
      <c r="AL30" s="98">
        <f t="shared" si="31"/>
        <v>52614586.809999995</v>
      </c>
      <c r="AM30" s="98">
        <f>SUM(AM31)</f>
        <v>0</v>
      </c>
      <c r="AN30" s="98">
        <f t="shared" ref="AN30:AO30" si="32">SUM(AN31)</f>
        <v>0</v>
      </c>
      <c r="AO30" s="101">
        <f t="shared" si="32"/>
        <v>0</v>
      </c>
      <c r="AP30" s="98">
        <f>SUM(AP31)</f>
        <v>78418793.839999929</v>
      </c>
      <c r="AQ30" s="98">
        <f t="shared" ref="AQ30:AS30" si="33">SUM(AQ31)</f>
        <v>41751.919999999998</v>
      </c>
      <c r="AR30" s="98">
        <f t="shared" si="33"/>
        <v>180432.59000000003</v>
      </c>
      <c r="AS30" s="98">
        <f t="shared" si="33"/>
        <v>65328429.479999989</v>
      </c>
      <c r="AT30" s="98">
        <f>SUM(AT31)</f>
        <v>0</v>
      </c>
      <c r="AU30" s="98">
        <f t="shared" ref="AU30:AV30" si="34">SUM(AU31)</f>
        <v>0</v>
      </c>
      <c r="AV30" s="101">
        <f t="shared" si="34"/>
        <v>0</v>
      </c>
      <c r="AW30" s="98">
        <f>SUM(AW31)</f>
        <v>57061039.219999991</v>
      </c>
      <c r="AX30" s="98">
        <f t="shared" ref="AX30:AZ30" si="35">SUM(AX31)</f>
        <v>24884.15</v>
      </c>
      <c r="AY30" s="98">
        <f t="shared" si="35"/>
        <v>93672.76999999999</v>
      </c>
      <c r="AZ30" s="98">
        <f t="shared" si="35"/>
        <v>43649946.030000009</v>
      </c>
      <c r="BA30" s="98">
        <f>SUM(BA31)</f>
        <v>0</v>
      </c>
      <c r="BB30" s="98">
        <f t="shared" ref="BB30:BC30" si="36">SUM(BB31)</f>
        <v>0</v>
      </c>
      <c r="BC30" s="101">
        <f t="shared" si="36"/>
        <v>0</v>
      </c>
    </row>
    <row r="31" spans="1:58">
      <c r="A31" s="80" t="s">
        <v>4</v>
      </c>
      <c r="B31" s="102">
        <v>207</v>
      </c>
      <c r="C31" s="103" t="s">
        <v>104</v>
      </c>
      <c r="D31" s="83">
        <v>57622392.389999948</v>
      </c>
      <c r="E31" s="83">
        <v>36086.320000000007</v>
      </c>
      <c r="F31" s="104">
        <f t="shared" si="9"/>
        <v>57658478.709999949</v>
      </c>
      <c r="G31" s="104">
        <v>58556968.369999997</v>
      </c>
      <c r="H31" s="105">
        <f t="shared" ref="H31" si="37">F31-G31</f>
        <v>-898489.66000004858</v>
      </c>
      <c r="I31" s="83">
        <v>107582.53000000001</v>
      </c>
      <c r="J31" s="83">
        <v>24525635.530000009</v>
      </c>
      <c r="K31" s="106">
        <f t="shared" si="11"/>
        <v>24633218.06000001</v>
      </c>
      <c r="L31" s="107">
        <v>24633218.059999999</v>
      </c>
      <c r="M31" s="106">
        <f t="shared" si="12"/>
        <v>0</v>
      </c>
      <c r="N31" s="83">
        <v>0</v>
      </c>
      <c r="O31" s="107">
        <v>0</v>
      </c>
      <c r="P31" s="106">
        <f t="shared" si="13"/>
        <v>0</v>
      </c>
      <c r="Q31" s="83">
        <v>0</v>
      </c>
      <c r="R31" s="106">
        <v>0</v>
      </c>
      <c r="S31" s="106">
        <v>0</v>
      </c>
      <c r="T31" s="106">
        <v>0</v>
      </c>
      <c r="U31" s="106">
        <f>Q31-R31-S31-T31</f>
        <v>0</v>
      </c>
      <c r="V31" s="83"/>
      <c r="W31" s="106">
        <v>0</v>
      </c>
      <c r="X31" s="106">
        <v>0</v>
      </c>
      <c r="Y31" s="106">
        <v>0</v>
      </c>
      <c r="Z31" s="106">
        <v>0</v>
      </c>
      <c r="AA31" s="106">
        <f t="shared" si="14"/>
        <v>0</v>
      </c>
      <c r="AB31" s="83">
        <v>50760938.779999979</v>
      </c>
      <c r="AC31" s="83">
        <v>8337.02</v>
      </c>
      <c r="AD31" s="83">
        <v>157582.54</v>
      </c>
      <c r="AE31" s="83">
        <v>28300224.319999997</v>
      </c>
      <c r="AF31" s="83">
        <v>0</v>
      </c>
      <c r="AG31" s="83">
        <v>0</v>
      </c>
      <c r="AH31" s="108"/>
      <c r="AI31" s="83">
        <v>66964635.619999915</v>
      </c>
      <c r="AJ31" s="83">
        <v>80237.88</v>
      </c>
      <c r="AK31" s="83">
        <v>236482.94999999998</v>
      </c>
      <c r="AL31" s="83">
        <v>52614586.809999995</v>
      </c>
      <c r="AM31" s="83">
        <v>0</v>
      </c>
      <c r="AN31" s="83">
        <v>0</v>
      </c>
      <c r="AO31" s="108"/>
      <c r="AP31" s="83">
        <v>78418793.839999929</v>
      </c>
      <c r="AQ31" s="83">
        <v>41751.919999999998</v>
      </c>
      <c r="AR31" s="83">
        <v>180432.59000000003</v>
      </c>
      <c r="AS31" s="83">
        <v>65328429.479999989</v>
      </c>
      <c r="AT31" s="83">
        <v>0</v>
      </c>
      <c r="AU31" s="83">
        <v>0</v>
      </c>
      <c r="AV31" s="108"/>
      <c r="AW31" s="83">
        <v>57061039.219999991</v>
      </c>
      <c r="AX31" s="83">
        <v>24884.15</v>
      </c>
      <c r="AY31" s="83">
        <v>93672.76999999999</v>
      </c>
      <c r="AZ31" s="83">
        <v>43649946.030000009</v>
      </c>
      <c r="BA31" s="83">
        <v>0</v>
      </c>
      <c r="BB31" s="83">
        <v>0</v>
      </c>
      <c r="BC31" s="108"/>
    </row>
    <row r="32" spans="1:58">
      <c r="C32" s="103"/>
      <c r="D32" s="83"/>
      <c r="E32" s="83"/>
      <c r="F32" s="104"/>
      <c r="G32" s="104"/>
      <c r="H32" s="105"/>
      <c r="I32" s="83"/>
      <c r="J32" s="83"/>
      <c r="K32" s="106"/>
      <c r="L32" s="107"/>
      <c r="M32" s="106"/>
      <c r="N32" s="83"/>
      <c r="O32" s="107"/>
      <c r="P32" s="106"/>
      <c r="Q32" s="83"/>
      <c r="R32" s="106"/>
      <c r="S32" s="106"/>
      <c r="T32" s="106"/>
      <c r="U32" s="106"/>
      <c r="V32" s="83"/>
      <c r="X32" s="106"/>
      <c r="Y32" s="106"/>
      <c r="Z32" s="106"/>
      <c r="AA32" s="106"/>
      <c r="AB32" s="83"/>
      <c r="AC32" s="83"/>
      <c r="AD32" s="83"/>
      <c r="AE32" s="83"/>
      <c r="AF32" s="83"/>
      <c r="AG32" s="83"/>
      <c r="AH32" s="108"/>
      <c r="AI32" s="83"/>
      <c r="AJ32" s="83"/>
      <c r="AK32" s="83"/>
      <c r="AL32" s="83"/>
      <c r="AM32" s="83"/>
      <c r="AN32" s="83"/>
      <c r="AO32" s="108"/>
      <c r="AP32" s="83"/>
      <c r="AQ32" s="83"/>
      <c r="AR32" s="83"/>
      <c r="AS32" s="83"/>
      <c r="AT32" s="83"/>
      <c r="AU32" s="83"/>
      <c r="AV32" s="108"/>
      <c r="AW32" s="83"/>
      <c r="AX32" s="83"/>
      <c r="AY32" s="83"/>
      <c r="AZ32" s="83"/>
      <c r="BA32" s="83"/>
      <c r="BB32" s="83"/>
      <c r="BC32" s="108"/>
    </row>
    <row r="33" spans="1:55">
      <c r="B33" s="87" t="s">
        <v>228</v>
      </c>
      <c r="C33" s="88"/>
      <c r="D33" s="98">
        <f>SUM(D34)</f>
        <v>242549323.75000015</v>
      </c>
      <c r="E33" s="98">
        <f t="shared" ref="E33:Z33" si="38">SUM(E34)</f>
        <v>91557240.700000092</v>
      </c>
      <c r="F33" s="99">
        <f t="shared" si="9"/>
        <v>334106564.45000023</v>
      </c>
      <c r="G33" s="99">
        <f>SUM(G34)</f>
        <v>334697994.25</v>
      </c>
      <c r="H33" s="99">
        <f>F33-G33</f>
        <v>-591429.7999997735</v>
      </c>
      <c r="I33" s="98">
        <f t="shared" si="38"/>
        <v>2305067.33</v>
      </c>
      <c r="J33" s="98">
        <f t="shared" si="38"/>
        <v>34151964.239999987</v>
      </c>
      <c r="K33" s="100">
        <f t="shared" si="11"/>
        <v>36457031.569999985</v>
      </c>
      <c r="L33" s="100">
        <f>SUM(L34)</f>
        <v>36457031.57</v>
      </c>
      <c r="M33" s="100">
        <f t="shared" si="12"/>
        <v>0</v>
      </c>
      <c r="N33" s="98">
        <f>SUM(N34)</f>
        <v>867179.16999999969</v>
      </c>
      <c r="O33" s="100">
        <f>SUM(O34)</f>
        <v>867179.17</v>
      </c>
      <c r="P33" s="100">
        <f t="shared" si="13"/>
        <v>0</v>
      </c>
      <c r="Q33" s="98">
        <f t="shared" si="38"/>
        <v>7366041.7200000007</v>
      </c>
      <c r="R33" s="100">
        <f>SUM(R34)</f>
        <v>4110556.91</v>
      </c>
      <c r="S33" s="100">
        <f>SUM(S34)</f>
        <v>1792889.48</v>
      </c>
      <c r="T33" s="100">
        <f>SUM(T34)</f>
        <v>1478438.84</v>
      </c>
      <c r="U33" s="100">
        <f>Q33-R33-S33-T33</f>
        <v>-15843.509999999544</v>
      </c>
      <c r="V33" s="98">
        <f t="shared" si="38"/>
        <v>0</v>
      </c>
      <c r="W33" s="100">
        <f t="shared" si="38"/>
        <v>0</v>
      </c>
      <c r="X33" s="100">
        <f t="shared" si="38"/>
        <v>0</v>
      </c>
      <c r="Y33" s="100">
        <f t="shared" si="38"/>
        <v>0</v>
      </c>
      <c r="Z33" s="100">
        <f t="shared" si="38"/>
        <v>0</v>
      </c>
      <c r="AA33" s="100">
        <f t="shared" si="14"/>
        <v>0</v>
      </c>
      <c r="AB33" s="98">
        <f>SUM(AB34)</f>
        <v>271236784.77000016</v>
      </c>
      <c r="AC33" s="98">
        <f t="shared" ref="AC33:AE33" si="39">SUM(AC34)</f>
        <v>104133357.92000005</v>
      </c>
      <c r="AD33" s="98">
        <f t="shared" si="39"/>
        <v>2817761.2600000002</v>
      </c>
      <c r="AE33" s="98">
        <f t="shared" si="39"/>
        <v>39461534.25999999</v>
      </c>
      <c r="AF33" s="98">
        <f>SUM(AF34)</f>
        <v>985134.11999999988</v>
      </c>
      <c r="AG33" s="98">
        <f t="shared" ref="AG33:AH33" si="40">SUM(AG34)</f>
        <v>6274294.6900000004</v>
      </c>
      <c r="AH33" s="101">
        <f t="shared" si="40"/>
        <v>0</v>
      </c>
      <c r="AI33" s="98">
        <f>SUM(AI34)</f>
        <v>301899204.08999991</v>
      </c>
      <c r="AJ33" s="98">
        <f t="shared" ref="AJ33:AL33" si="41">SUM(AJ34)</f>
        <v>114107987.6799998</v>
      </c>
      <c r="AK33" s="98">
        <f t="shared" si="41"/>
        <v>3297758.4499999988</v>
      </c>
      <c r="AL33" s="98">
        <f t="shared" si="41"/>
        <v>47480491.960000008</v>
      </c>
      <c r="AM33" s="98">
        <f>SUM(AM34)</f>
        <v>1121822.6499999997</v>
      </c>
      <c r="AN33" s="98">
        <f t="shared" ref="AN33:AO33" si="42">SUM(AN34)</f>
        <v>5786829.1899999995</v>
      </c>
      <c r="AO33" s="101">
        <f t="shared" si="42"/>
        <v>0</v>
      </c>
      <c r="AP33" s="98">
        <f>SUM(AP34)</f>
        <v>284941913.71999997</v>
      </c>
      <c r="AQ33" s="98">
        <f t="shared" ref="AQ33:AS33" si="43">SUM(AQ34)</f>
        <v>108368957.25000007</v>
      </c>
      <c r="AR33" s="98">
        <f t="shared" si="43"/>
        <v>3076099.1999999997</v>
      </c>
      <c r="AS33" s="98">
        <f t="shared" si="43"/>
        <v>45767816.859999955</v>
      </c>
      <c r="AT33" s="98">
        <f>SUM(AT34)</f>
        <v>1080999.7899999996</v>
      </c>
      <c r="AU33" s="98">
        <f t="shared" ref="AU33:AV33" si="44">SUM(AU34)</f>
        <v>5230494.8599999994</v>
      </c>
      <c r="AV33" s="101">
        <f t="shared" si="44"/>
        <v>0</v>
      </c>
      <c r="AW33" s="98">
        <f>SUM(AW34)</f>
        <v>247988168.82999974</v>
      </c>
      <c r="AX33" s="98">
        <f t="shared" ref="AX33:AZ33" si="45">SUM(AX34)</f>
        <v>89518782.62999998</v>
      </c>
      <c r="AY33" s="98">
        <f t="shared" si="45"/>
        <v>2684873.64</v>
      </c>
      <c r="AZ33" s="98">
        <f t="shared" si="45"/>
        <v>42315962.040000014</v>
      </c>
      <c r="BA33" s="98">
        <f>SUM(BA34)</f>
        <v>957798.69999999984</v>
      </c>
      <c r="BB33" s="98">
        <f t="shared" ref="BB33:BC33" si="46">SUM(BB34)</f>
        <v>2226033.27</v>
      </c>
      <c r="BC33" s="101">
        <f t="shared" si="46"/>
        <v>0</v>
      </c>
    </row>
    <row r="34" spans="1:55">
      <c r="A34" s="80" t="s">
        <v>18</v>
      </c>
      <c r="B34" s="102">
        <v>310</v>
      </c>
      <c r="C34" s="103" t="s">
        <v>144</v>
      </c>
      <c r="D34" s="83">
        <v>242549323.75000015</v>
      </c>
      <c r="E34" s="83">
        <v>91557240.700000092</v>
      </c>
      <c r="F34" s="104">
        <f t="shared" si="9"/>
        <v>334106564.45000023</v>
      </c>
      <c r="G34" s="104">
        <v>334697994.25</v>
      </c>
      <c r="H34" s="105">
        <f t="shared" ref="H34" si="47">F34-G34</f>
        <v>-591429.7999997735</v>
      </c>
      <c r="I34" s="83">
        <v>2305067.33</v>
      </c>
      <c r="J34" s="83">
        <v>34151964.239999987</v>
      </c>
      <c r="K34" s="106">
        <f t="shared" si="11"/>
        <v>36457031.569999985</v>
      </c>
      <c r="L34" s="107">
        <v>36457031.57</v>
      </c>
      <c r="M34" s="106">
        <f t="shared" si="12"/>
        <v>0</v>
      </c>
      <c r="N34" s="83">
        <v>867179.16999999969</v>
      </c>
      <c r="O34" s="107">
        <v>867179.17</v>
      </c>
      <c r="P34" s="106">
        <f t="shared" si="13"/>
        <v>0</v>
      </c>
      <c r="Q34" s="83">
        <v>7366041.7200000007</v>
      </c>
      <c r="R34" s="106">
        <v>4110556.91</v>
      </c>
      <c r="S34" s="106">
        <v>1792889.48</v>
      </c>
      <c r="T34" s="106">
        <v>1478438.84</v>
      </c>
      <c r="U34" s="106">
        <f t="shared" ref="U34" si="48">Q34-R34-S34-T34</f>
        <v>-15843.509999999544</v>
      </c>
      <c r="V34" s="83"/>
      <c r="W34" s="106">
        <v>0</v>
      </c>
      <c r="X34" s="106">
        <v>0</v>
      </c>
      <c r="Y34" s="106">
        <v>0</v>
      </c>
      <c r="Z34" s="106">
        <v>0</v>
      </c>
      <c r="AA34" s="106">
        <f t="shared" si="14"/>
        <v>0</v>
      </c>
      <c r="AB34" s="83">
        <v>271236784.77000016</v>
      </c>
      <c r="AC34" s="83">
        <v>104133357.92000005</v>
      </c>
      <c r="AD34" s="83">
        <v>2817761.2600000002</v>
      </c>
      <c r="AE34" s="83">
        <v>39461534.25999999</v>
      </c>
      <c r="AF34" s="83">
        <v>985134.11999999988</v>
      </c>
      <c r="AG34" s="83">
        <v>6274294.6900000004</v>
      </c>
      <c r="AH34" s="108"/>
      <c r="AI34" s="83">
        <v>301899204.08999991</v>
      </c>
      <c r="AJ34" s="83">
        <v>114107987.6799998</v>
      </c>
      <c r="AK34" s="83">
        <v>3297758.4499999988</v>
      </c>
      <c r="AL34" s="83">
        <v>47480491.960000008</v>
      </c>
      <c r="AM34" s="83">
        <v>1121822.6499999997</v>
      </c>
      <c r="AN34" s="83">
        <v>5786829.1899999995</v>
      </c>
      <c r="AO34" s="108"/>
      <c r="AP34" s="83">
        <v>284941913.71999997</v>
      </c>
      <c r="AQ34" s="83">
        <v>108368957.25000007</v>
      </c>
      <c r="AR34" s="83">
        <v>3076099.1999999997</v>
      </c>
      <c r="AS34" s="83">
        <v>45767816.859999955</v>
      </c>
      <c r="AT34" s="83">
        <v>1080999.7899999996</v>
      </c>
      <c r="AU34" s="83">
        <v>5230494.8599999994</v>
      </c>
      <c r="AV34" s="108"/>
      <c r="AW34" s="83">
        <v>247988168.82999974</v>
      </c>
      <c r="AX34" s="83">
        <v>89518782.62999998</v>
      </c>
      <c r="AY34" s="83">
        <v>2684873.64</v>
      </c>
      <c r="AZ34" s="83">
        <v>42315962.040000014</v>
      </c>
      <c r="BA34" s="83">
        <v>957798.69999999984</v>
      </c>
      <c r="BB34" s="83">
        <v>2226033.27</v>
      </c>
      <c r="BC34" s="108"/>
    </row>
    <row r="35" spans="1:55">
      <c r="C35" s="103"/>
      <c r="D35" s="83"/>
      <c r="E35" s="83"/>
      <c r="F35" s="104"/>
      <c r="G35" s="104"/>
      <c r="H35" s="105"/>
      <c r="I35" s="83"/>
      <c r="J35" s="83"/>
      <c r="K35" s="106"/>
      <c r="L35" s="107"/>
      <c r="M35" s="106"/>
      <c r="N35" s="83"/>
      <c r="O35" s="107"/>
      <c r="P35" s="106"/>
      <c r="Q35" s="83"/>
      <c r="R35" s="106"/>
      <c r="S35" s="106"/>
      <c r="T35" s="106"/>
      <c r="U35" s="106"/>
      <c r="V35" s="83"/>
      <c r="X35" s="106"/>
      <c r="Y35" s="106"/>
      <c r="Z35" s="106"/>
      <c r="AA35" s="106"/>
      <c r="AB35" s="83"/>
      <c r="AC35" s="83"/>
      <c r="AD35" s="83"/>
      <c r="AE35" s="83"/>
      <c r="AF35" s="83"/>
      <c r="AG35" s="83"/>
      <c r="AH35" s="108"/>
      <c r="AI35" s="83"/>
      <c r="AJ35" s="83"/>
      <c r="AK35" s="83"/>
      <c r="AL35" s="83"/>
      <c r="AM35" s="83"/>
      <c r="AN35" s="83"/>
      <c r="AO35" s="108"/>
      <c r="AP35" s="83"/>
      <c r="AQ35" s="83"/>
      <c r="AR35" s="83"/>
      <c r="AS35" s="83"/>
      <c r="AT35" s="83"/>
      <c r="AU35" s="83"/>
      <c r="AV35" s="108"/>
      <c r="AW35" s="83"/>
      <c r="AX35" s="83"/>
      <c r="AY35" s="83"/>
      <c r="AZ35" s="83"/>
      <c r="BA35" s="83"/>
      <c r="BB35" s="83"/>
      <c r="BC35" s="108"/>
    </row>
    <row r="36" spans="1:55">
      <c r="B36" s="87" t="s">
        <v>229</v>
      </c>
      <c r="C36" s="88"/>
      <c r="D36" s="98">
        <f>SUM(D37:D50)</f>
        <v>7525558.8599999938</v>
      </c>
      <c r="E36" s="98">
        <f t="shared" ref="E36:Z36" si="49">SUM(E37:E50)</f>
        <v>13840846.899999997</v>
      </c>
      <c r="F36" s="99">
        <f t="shared" si="9"/>
        <v>21366405.75999999</v>
      </c>
      <c r="G36" s="99">
        <f>SUM(G37:G50)</f>
        <v>21404426.810000002</v>
      </c>
      <c r="H36" s="99">
        <f>F36-G36</f>
        <v>-38021.050000011921</v>
      </c>
      <c r="I36" s="98">
        <f t="shared" si="49"/>
        <v>5454387.4099999964</v>
      </c>
      <c r="J36" s="98">
        <f t="shared" si="49"/>
        <v>4404683.8500000015</v>
      </c>
      <c r="K36" s="100">
        <f t="shared" si="11"/>
        <v>9859071.2599999979</v>
      </c>
      <c r="L36" s="100">
        <f>SUM(L37:L50)</f>
        <v>9859071.2599999998</v>
      </c>
      <c r="M36" s="100">
        <f t="shared" si="12"/>
        <v>0</v>
      </c>
      <c r="N36" s="98">
        <f>SUM(N37:N50)</f>
        <v>3932175.75</v>
      </c>
      <c r="O36" s="100">
        <f>SUM(O37:O50)</f>
        <v>3932175.7500000009</v>
      </c>
      <c r="P36" s="100">
        <f t="shared" si="13"/>
        <v>0</v>
      </c>
      <c r="Q36" s="98">
        <f t="shared" si="49"/>
        <v>39242782.640000008</v>
      </c>
      <c r="R36" s="100">
        <f>SUM(R37:R50)</f>
        <v>1930383.59</v>
      </c>
      <c r="S36" s="100">
        <f>SUM(S37:S50)</f>
        <v>7606436.3800000008</v>
      </c>
      <c r="T36" s="100">
        <f>SUM(T37:T50)</f>
        <v>29756808.970000003</v>
      </c>
      <c r="U36" s="100">
        <f>Q36-R36-S36-T36</f>
        <v>-50846.300000000745</v>
      </c>
      <c r="V36" s="98">
        <f t="shared" si="49"/>
        <v>0</v>
      </c>
      <c r="W36" s="100">
        <f t="shared" si="49"/>
        <v>0</v>
      </c>
      <c r="X36" s="100">
        <f t="shared" si="49"/>
        <v>0</v>
      </c>
      <c r="Y36" s="100">
        <f t="shared" si="49"/>
        <v>0</v>
      </c>
      <c r="Z36" s="100">
        <f t="shared" si="49"/>
        <v>0</v>
      </c>
      <c r="AA36" s="100">
        <f t="shared" si="14"/>
        <v>0</v>
      </c>
      <c r="AB36" s="98">
        <f>SUM(AB37:AB50)</f>
        <v>6709552.6800000006</v>
      </c>
      <c r="AC36" s="98">
        <f t="shared" ref="AC36:AE36" si="50">SUM(AC37:AC50)</f>
        <v>12317882.370000005</v>
      </c>
      <c r="AD36" s="98">
        <f t="shared" si="50"/>
        <v>5679968.8699999973</v>
      </c>
      <c r="AE36" s="98">
        <f t="shared" si="50"/>
        <v>3573793.2600000012</v>
      </c>
      <c r="AF36" s="98">
        <f>SUM(AF37:AF50)</f>
        <v>3615439.1399999992</v>
      </c>
      <c r="AG36" s="98">
        <f t="shared" ref="AG36:AH36" si="51">SUM(AG37:AG50)</f>
        <v>40014009.179999992</v>
      </c>
      <c r="AH36" s="101">
        <f t="shared" si="51"/>
        <v>0</v>
      </c>
      <c r="AI36" s="98">
        <f>SUM(AI37:AI50)</f>
        <v>7107081.1599999964</v>
      </c>
      <c r="AJ36" s="98">
        <f t="shared" ref="AJ36:AL36" si="52">SUM(AJ37:AJ50)</f>
        <v>12044579.149999999</v>
      </c>
      <c r="AK36" s="98">
        <f t="shared" si="52"/>
        <v>5733438.3899999987</v>
      </c>
      <c r="AL36" s="98">
        <f t="shared" si="52"/>
        <v>4672289.1999999983</v>
      </c>
      <c r="AM36" s="98">
        <f>SUM(AM37:AM50)</f>
        <v>4178852.4800000004</v>
      </c>
      <c r="AN36" s="98">
        <f t="shared" ref="AN36:AO36" si="53">SUM(AN37:AN50)</f>
        <v>48977500.939999998</v>
      </c>
      <c r="AO36" s="101">
        <f t="shared" si="53"/>
        <v>0</v>
      </c>
      <c r="AP36" s="98">
        <f>SUM(AP37:AP50)</f>
        <v>7467431.259999997</v>
      </c>
      <c r="AQ36" s="98">
        <f t="shared" ref="AQ36:AS36" si="54">SUM(AQ37:AQ50)</f>
        <v>9505461.8100000042</v>
      </c>
      <c r="AR36" s="98">
        <f t="shared" si="54"/>
        <v>5354005.6300000008</v>
      </c>
      <c r="AS36" s="98">
        <f t="shared" si="54"/>
        <v>6013064.9100000011</v>
      </c>
      <c r="AT36" s="98">
        <f>SUM(AT37:AT50)</f>
        <v>3167068.2999999993</v>
      </c>
      <c r="AU36" s="98">
        <f t="shared" ref="AU36:AV36" si="55">SUM(AU37:AU50)</f>
        <v>39893101.289999999</v>
      </c>
      <c r="AV36" s="101">
        <f t="shared" si="55"/>
        <v>0</v>
      </c>
      <c r="AW36" s="98">
        <f>SUM(AW37:AW50)</f>
        <v>6069903.7400000002</v>
      </c>
      <c r="AX36" s="98">
        <f t="shared" ref="AX36:AZ36" si="56">SUM(AX37:AX50)</f>
        <v>9919270.8600000013</v>
      </c>
      <c r="AY36" s="98">
        <f t="shared" si="56"/>
        <v>5453937.1399999987</v>
      </c>
      <c r="AZ36" s="98">
        <f t="shared" si="56"/>
        <v>4618141.8499999996</v>
      </c>
      <c r="BA36" s="98">
        <f>SUM(BA37:BA50)</f>
        <v>2026072.0599999998</v>
      </c>
      <c r="BB36" s="98">
        <f t="shared" ref="BB36:BC36" si="57">SUM(BB37:BB50)</f>
        <v>32385995.91</v>
      </c>
      <c r="BC36" s="101">
        <f t="shared" si="57"/>
        <v>0</v>
      </c>
    </row>
    <row r="37" spans="1:55">
      <c r="A37" s="80" t="s">
        <v>3</v>
      </c>
      <c r="B37" s="102">
        <v>201</v>
      </c>
      <c r="C37" s="103" t="s">
        <v>89</v>
      </c>
      <c r="D37" s="83">
        <v>104147.89999999998</v>
      </c>
      <c r="E37" s="83">
        <v>40793.230000000018</v>
      </c>
      <c r="F37" s="104">
        <f t="shared" si="9"/>
        <v>144941.13</v>
      </c>
      <c r="G37" s="104">
        <v>146346.76999999999</v>
      </c>
      <c r="H37" s="105">
        <f t="shared" ref="H37:H50" si="58">F37-G37</f>
        <v>-1405.6399999999849</v>
      </c>
      <c r="I37" s="83">
        <v>7132.63</v>
      </c>
      <c r="J37" s="83">
        <v>38796.399999999994</v>
      </c>
      <c r="K37" s="106">
        <f t="shared" si="11"/>
        <v>45929.029999999992</v>
      </c>
      <c r="L37" s="107">
        <v>45929.03</v>
      </c>
      <c r="M37" s="106">
        <f t="shared" si="12"/>
        <v>0</v>
      </c>
      <c r="N37" s="83">
        <v>1266573.3699999999</v>
      </c>
      <c r="O37" s="107">
        <v>1266573.3700000001</v>
      </c>
      <c r="P37" s="106">
        <f t="shared" si="13"/>
        <v>0</v>
      </c>
      <c r="Q37" s="83">
        <v>4112166.4699999997</v>
      </c>
      <c r="R37" s="106">
        <v>583844.85</v>
      </c>
      <c r="S37" s="106">
        <v>2003390.72</v>
      </c>
      <c r="T37" s="106">
        <v>1528924.72</v>
      </c>
      <c r="U37" s="106">
        <f t="shared" ref="U37:U50" si="59">Q37-R37-S37-T37</f>
        <v>-3993.820000000298</v>
      </c>
      <c r="V37" s="83"/>
      <c r="W37" s="106">
        <v>0</v>
      </c>
      <c r="X37" s="106">
        <v>0</v>
      </c>
      <c r="Y37" s="106">
        <v>0</v>
      </c>
      <c r="Z37" s="106">
        <v>0</v>
      </c>
      <c r="AA37" s="106">
        <f t="shared" si="14"/>
        <v>0</v>
      </c>
      <c r="AB37" s="83">
        <v>130334.76000000004</v>
      </c>
      <c r="AC37" s="83">
        <v>64908.56</v>
      </c>
      <c r="AD37" s="83">
        <v>9257.5099999999984</v>
      </c>
      <c r="AE37" s="83">
        <v>54334.5</v>
      </c>
      <c r="AF37" s="83">
        <v>1399015.1099999999</v>
      </c>
      <c r="AG37" s="83">
        <v>3257059.17</v>
      </c>
      <c r="AH37" s="108"/>
      <c r="AI37" s="83">
        <v>161752.53</v>
      </c>
      <c r="AJ37" s="83">
        <v>92690.149999999965</v>
      </c>
      <c r="AK37" s="83">
        <v>5751.11</v>
      </c>
      <c r="AL37" s="83">
        <v>30949.030000000002</v>
      </c>
      <c r="AM37" s="83">
        <v>1688654.5799999991</v>
      </c>
      <c r="AN37" s="83">
        <v>2912142.1099999994</v>
      </c>
      <c r="AO37" s="108"/>
      <c r="AP37" s="83">
        <v>97389.730000000054</v>
      </c>
      <c r="AQ37" s="83">
        <v>65962.78</v>
      </c>
      <c r="AR37" s="83">
        <v>5773.8200000000006</v>
      </c>
      <c r="AS37" s="83">
        <v>33954.700000000019</v>
      </c>
      <c r="AT37" s="83">
        <v>1882848.62</v>
      </c>
      <c r="AU37" s="83">
        <v>2227469.9099999997</v>
      </c>
      <c r="AV37" s="108"/>
      <c r="AW37" s="83">
        <v>1036760.4599999998</v>
      </c>
      <c r="AX37" s="83">
        <v>32925.960000000006</v>
      </c>
      <c r="AY37" s="83">
        <v>15332.99</v>
      </c>
      <c r="AZ37" s="83">
        <v>21258.530000000002</v>
      </c>
      <c r="BA37" s="83">
        <v>1406294.45</v>
      </c>
      <c r="BB37" s="83">
        <v>1093295.2100000004</v>
      </c>
      <c r="BC37" s="108"/>
    </row>
    <row r="38" spans="1:55">
      <c r="A38" s="80" t="s">
        <v>3</v>
      </c>
      <c r="B38" s="102">
        <v>202</v>
      </c>
      <c r="C38" s="103" t="s">
        <v>90</v>
      </c>
      <c r="D38" s="83">
        <v>3490314.7499999995</v>
      </c>
      <c r="E38" s="83">
        <v>47450.05</v>
      </c>
      <c r="F38" s="104">
        <f t="shared" si="9"/>
        <v>3537764.7999999993</v>
      </c>
      <c r="G38" s="104">
        <v>3540618.81</v>
      </c>
      <c r="H38" s="105">
        <f t="shared" si="58"/>
        <v>-2854.0100000007078</v>
      </c>
      <c r="I38" s="83">
        <v>0</v>
      </c>
      <c r="J38" s="83">
        <v>2986499.3700000024</v>
      </c>
      <c r="K38" s="106">
        <f t="shared" si="11"/>
        <v>2986499.3700000024</v>
      </c>
      <c r="L38" s="107">
        <v>2986499.37</v>
      </c>
      <c r="M38" s="106">
        <f t="shared" si="12"/>
        <v>0</v>
      </c>
      <c r="N38" s="83">
        <v>0</v>
      </c>
      <c r="O38" s="107">
        <v>0</v>
      </c>
      <c r="P38" s="106">
        <f t="shared" si="13"/>
        <v>0</v>
      </c>
      <c r="Q38" s="83">
        <v>9574.7099999999991</v>
      </c>
      <c r="R38" s="106">
        <v>9574.7099999999991</v>
      </c>
      <c r="S38" s="106">
        <v>0</v>
      </c>
      <c r="T38" s="106">
        <v>0</v>
      </c>
      <c r="U38" s="106">
        <f t="shared" si="59"/>
        <v>0</v>
      </c>
      <c r="V38" s="83"/>
      <c r="W38" s="106">
        <v>0</v>
      </c>
      <c r="X38" s="106">
        <v>0</v>
      </c>
      <c r="Y38" s="106">
        <v>0</v>
      </c>
      <c r="Z38" s="106">
        <v>0</v>
      </c>
      <c r="AA38" s="106">
        <f t="shared" si="14"/>
        <v>0</v>
      </c>
      <c r="AB38" s="83">
        <v>2557331.4399999985</v>
      </c>
      <c r="AC38" s="83">
        <v>143133.30000000002</v>
      </c>
      <c r="AD38" s="83">
        <v>0</v>
      </c>
      <c r="AE38" s="83">
        <v>2094024.820000001</v>
      </c>
      <c r="AF38" s="83">
        <v>0</v>
      </c>
      <c r="AG38" s="83">
        <v>7550.19</v>
      </c>
      <c r="AH38" s="108"/>
      <c r="AI38" s="83">
        <v>2640913.2100000023</v>
      </c>
      <c r="AJ38" s="83">
        <v>289536.58999999997</v>
      </c>
      <c r="AK38" s="83">
        <v>0</v>
      </c>
      <c r="AL38" s="83">
        <v>2938008.9199999985</v>
      </c>
      <c r="AM38" s="83">
        <v>0</v>
      </c>
      <c r="AN38" s="83">
        <v>3014.49</v>
      </c>
      <c r="AO38" s="108"/>
      <c r="AP38" s="83">
        <v>2714399.2499999995</v>
      </c>
      <c r="AQ38" s="83">
        <v>80415.069999999992</v>
      </c>
      <c r="AR38" s="83">
        <v>0</v>
      </c>
      <c r="AS38" s="83">
        <v>3807648.62</v>
      </c>
      <c r="AT38" s="83">
        <v>0</v>
      </c>
      <c r="AU38" s="83">
        <v>29721.74</v>
      </c>
      <c r="AV38" s="108"/>
      <c r="AW38" s="83">
        <v>1660975.0199999993</v>
      </c>
      <c r="AX38" s="83">
        <v>22431.97</v>
      </c>
      <c r="AY38" s="83">
        <v>0</v>
      </c>
      <c r="AZ38" s="83">
        <v>2771561.0800000005</v>
      </c>
      <c r="BA38" s="83">
        <v>0</v>
      </c>
      <c r="BB38" s="83">
        <v>1225.5</v>
      </c>
      <c r="BC38" s="108"/>
    </row>
    <row r="39" spans="1:55">
      <c r="A39" s="80" t="s">
        <v>3</v>
      </c>
      <c r="B39" s="102">
        <v>203</v>
      </c>
      <c r="C39" s="103" t="s">
        <v>91</v>
      </c>
      <c r="D39" s="83">
        <v>0</v>
      </c>
      <c r="E39" s="83">
        <v>0</v>
      </c>
      <c r="F39" s="104">
        <f t="shared" si="9"/>
        <v>0</v>
      </c>
      <c r="G39" s="104">
        <v>0</v>
      </c>
      <c r="H39" s="105">
        <f t="shared" si="58"/>
        <v>0</v>
      </c>
      <c r="I39" s="83">
        <v>0</v>
      </c>
      <c r="J39" s="83">
        <v>0</v>
      </c>
      <c r="K39" s="106">
        <f t="shared" si="11"/>
        <v>0</v>
      </c>
      <c r="L39" s="107">
        <v>0</v>
      </c>
      <c r="M39" s="106">
        <f t="shared" si="12"/>
        <v>0</v>
      </c>
      <c r="N39" s="83">
        <v>153288.61999999997</v>
      </c>
      <c r="O39" s="107">
        <v>153288.62</v>
      </c>
      <c r="P39" s="106">
        <f t="shared" si="13"/>
        <v>0</v>
      </c>
      <c r="Q39" s="83">
        <v>1670993.56</v>
      </c>
      <c r="R39" s="106">
        <v>286077.11</v>
      </c>
      <c r="S39" s="106">
        <v>970126.38</v>
      </c>
      <c r="T39" s="106">
        <v>418838.43</v>
      </c>
      <c r="U39" s="106">
        <f t="shared" si="59"/>
        <v>-4048.3599999998114</v>
      </c>
      <c r="V39" s="83"/>
      <c r="W39" s="106">
        <v>0</v>
      </c>
      <c r="X39" s="106">
        <v>0</v>
      </c>
      <c r="Y39" s="106">
        <v>0</v>
      </c>
      <c r="Z39" s="106">
        <v>0</v>
      </c>
      <c r="AA39" s="106">
        <f t="shared" si="14"/>
        <v>0</v>
      </c>
      <c r="AB39" s="83">
        <v>0</v>
      </c>
      <c r="AC39" s="83">
        <v>0</v>
      </c>
      <c r="AD39" s="83">
        <v>0</v>
      </c>
      <c r="AE39" s="83">
        <v>0</v>
      </c>
      <c r="AF39" s="83">
        <v>165014</v>
      </c>
      <c r="AG39" s="83">
        <v>1126663.94</v>
      </c>
      <c r="AH39" s="108"/>
      <c r="AI39" s="83">
        <v>0</v>
      </c>
      <c r="AJ39" s="83">
        <v>0</v>
      </c>
      <c r="AK39" s="83">
        <v>0</v>
      </c>
      <c r="AL39" s="83">
        <v>0</v>
      </c>
      <c r="AM39" s="83">
        <v>221775.77999999994</v>
      </c>
      <c r="AN39" s="83">
        <v>3584074.33</v>
      </c>
      <c r="AO39" s="108"/>
      <c r="AP39" s="83">
        <v>0</v>
      </c>
      <c r="AQ39" s="83">
        <v>0</v>
      </c>
      <c r="AR39" s="83">
        <v>0</v>
      </c>
      <c r="AS39" s="83">
        <v>0</v>
      </c>
      <c r="AT39" s="83">
        <v>83420.67</v>
      </c>
      <c r="AU39" s="83">
        <v>1051716.8400000003</v>
      </c>
      <c r="AV39" s="108"/>
      <c r="AW39" s="83">
        <v>0</v>
      </c>
      <c r="AX39" s="83">
        <v>0</v>
      </c>
      <c r="AY39" s="83">
        <v>0</v>
      </c>
      <c r="AZ39" s="83">
        <v>0</v>
      </c>
      <c r="BA39" s="83">
        <v>55371.619999999981</v>
      </c>
      <c r="BB39" s="83">
        <v>1472938.29</v>
      </c>
      <c r="BC39" s="108"/>
    </row>
    <row r="40" spans="1:55">
      <c r="A40" s="80" t="s">
        <v>3</v>
      </c>
      <c r="B40" s="102">
        <v>204</v>
      </c>
      <c r="C40" s="103" t="s">
        <v>92</v>
      </c>
      <c r="D40" s="83">
        <v>105711.93000000004</v>
      </c>
      <c r="E40" s="83">
        <v>10298.870000000003</v>
      </c>
      <c r="F40" s="104">
        <f t="shared" si="9"/>
        <v>116010.80000000005</v>
      </c>
      <c r="G40" s="104">
        <v>118443.48</v>
      </c>
      <c r="H40" s="105">
        <f t="shared" si="58"/>
        <v>-2432.6799999999494</v>
      </c>
      <c r="I40" s="83">
        <v>1589.7299999999998</v>
      </c>
      <c r="J40" s="83">
        <v>71671.360000000015</v>
      </c>
      <c r="K40" s="106">
        <f t="shared" si="11"/>
        <v>73261.090000000011</v>
      </c>
      <c r="L40" s="107">
        <v>73261.09</v>
      </c>
      <c r="M40" s="106">
        <f t="shared" si="12"/>
        <v>0</v>
      </c>
      <c r="N40" s="83">
        <v>19082.719999999998</v>
      </c>
      <c r="O40" s="107">
        <v>19082.72</v>
      </c>
      <c r="P40" s="106">
        <f t="shared" si="13"/>
        <v>0</v>
      </c>
      <c r="Q40" s="83">
        <v>917387.76</v>
      </c>
      <c r="R40" s="106">
        <v>310529.46999999997</v>
      </c>
      <c r="S40" s="106">
        <v>209807.9</v>
      </c>
      <c r="T40" s="106">
        <v>400485.41</v>
      </c>
      <c r="U40" s="106">
        <f t="shared" si="59"/>
        <v>-3435.0199999999604</v>
      </c>
      <c r="V40" s="83"/>
      <c r="W40" s="106">
        <v>0</v>
      </c>
      <c r="X40" s="106">
        <v>0</v>
      </c>
      <c r="Y40" s="106">
        <v>0</v>
      </c>
      <c r="Z40" s="106">
        <v>0</v>
      </c>
      <c r="AA40" s="106">
        <f t="shared" si="14"/>
        <v>0</v>
      </c>
      <c r="AB40" s="83">
        <v>122709.45</v>
      </c>
      <c r="AC40" s="83">
        <v>7919.4800000000005</v>
      </c>
      <c r="AD40" s="83">
        <v>5713.8399999999992</v>
      </c>
      <c r="AE40" s="83">
        <v>72831.08</v>
      </c>
      <c r="AF40" s="83">
        <v>28040.950000000004</v>
      </c>
      <c r="AG40" s="83">
        <v>923695.15000000049</v>
      </c>
      <c r="AH40" s="108"/>
      <c r="AI40" s="83">
        <v>122714.20999999998</v>
      </c>
      <c r="AJ40" s="83">
        <v>10497.380000000001</v>
      </c>
      <c r="AK40" s="83">
        <v>22</v>
      </c>
      <c r="AL40" s="83">
        <v>83348.820000000036</v>
      </c>
      <c r="AM40" s="83">
        <v>18886.279999999992</v>
      </c>
      <c r="AN40" s="83">
        <v>957126.83000000031</v>
      </c>
      <c r="AO40" s="108"/>
      <c r="AP40" s="83">
        <v>111744.55000000005</v>
      </c>
      <c r="AQ40" s="83">
        <v>16416.439999999999</v>
      </c>
      <c r="AR40" s="83">
        <v>3706.45</v>
      </c>
      <c r="AS40" s="83">
        <v>109346.31999999999</v>
      </c>
      <c r="AT40" s="83">
        <v>24074.149999999998</v>
      </c>
      <c r="AU40" s="83">
        <v>1011924.6799999999</v>
      </c>
      <c r="AV40" s="108"/>
      <c r="AW40" s="83">
        <v>87877.43</v>
      </c>
      <c r="AX40" s="83">
        <v>3636.24</v>
      </c>
      <c r="AY40" s="83">
        <v>96</v>
      </c>
      <c r="AZ40" s="83">
        <v>68397.150000000038</v>
      </c>
      <c r="BA40" s="83">
        <v>8620.73</v>
      </c>
      <c r="BB40" s="83">
        <v>576841.9</v>
      </c>
      <c r="BC40" s="108"/>
    </row>
    <row r="41" spans="1:55">
      <c r="A41" s="80" t="s">
        <v>3</v>
      </c>
      <c r="B41" s="102">
        <v>205</v>
      </c>
      <c r="C41" s="103" t="s">
        <v>93</v>
      </c>
      <c r="D41" s="83">
        <v>0</v>
      </c>
      <c r="E41" s="83">
        <v>0</v>
      </c>
      <c r="F41" s="104">
        <f t="shared" si="9"/>
        <v>0</v>
      </c>
      <c r="G41" s="104">
        <v>0</v>
      </c>
      <c r="H41" s="105">
        <f t="shared" si="58"/>
        <v>0</v>
      </c>
      <c r="I41" s="83">
        <v>0</v>
      </c>
      <c r="J41" s="83">
        <v>0</v>
      </c>
      <c r="K41" s="106">
        <f t="shared" si="11"/>
        <v>0</v>
      </c>
      <c r="L41" s="107">
        <v>0</v>
      </c>
      <c r="M41" s="106">
        <f t="shared" si="12"/>
        <v>0</v>
      </c>
      <c r="N41" s="83">
        <v>0</v>
      </c>
      <c r="O41" s="107">
        <v>0</v>
      </c>
      <c r="P41" s="106">
        <f t="shared" si="13"/>
        <v>0</v>
      </c>
      <c r="Q41" s="83">
        <v>15130123.789999999</v>
      </c>
      <c r="R41" s="106">
        <v>0</v>
      </c>
      <c r="S41" s="106">
        <v>0</v>
      </c>
      <c r="T41" s="106">
        <v>15130123.789999999</v>
      </c>
      <c r="U41" s="106">
        <f t="shared" si="59"/>
        <v>0</v>
      </c>
      <c r="V41" s="83"/>
      <c r="W41" s="106">
        <v>0</v>
      </c>
      <c r="X41" s="106">
        <v>0</v>
      </c>
      <c r="Y41" s="106">
        <v>0</v>
      </c>
      <c r="Z41" s="106">
        <v>0</v>
      </c>
      <c r="AA41" s="106">
        <f t="shared" si="14"/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0</v>
      </c>
      <c r="AG41" s="83">
        <v>16552288.52</v>
      </c>
      <c r="AH41" s="108"/>
      <c r="AI41" s="83">
        <v>0</v>
      </c>
      <c r="AJ41" s="83">
        <v>0</v>
      </c>
      <c r="AK41" s="83">
        <v>0</v>
      </c>
      <c r="AL41" s="83">
        <v>0</v>
      </c>
      <c r="AM41" s="83">
        <v>0</v>
      </c>
      <c r="AN41" s="83">
        <v>22942791.920000002</v>
      </c>
      <c r="AO41" s="108"/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18107906.079999998</v>
      </c>
      <c r="AV41" s="108"/>
      <c r="AW41" s="83">
        <v>0</v>
      </c>
      <c r="AX41" s="83">
        <v>0</v>
      </c>
      <c r="AY41" s="83">
        <v>0</v>
      </c>
      <c r="AZ41" s="83">
        <v>0</v>
      </c>
      <c r="BA41" s="83">
        <v>0</v>
      </c>
      <c r="BB41" s="83">
        <v>14443565.5</v>
      </c>
      <c r="BC41" s="108"/>
    </row>
    <row r="42" spans="1:55">
      <c r="A42" s="80" t="s">
        <v>3</v>
      </c>
      <c r="B42" s="102">
        <v>206</v>
      </c>
      <c r="C42" s="103" t="s">
        <v>94</v>
      </c>
      <c r="D42" s="83">
        <v>2228376.6999999941</v>
      </c>
      <c r="E42" s="83">
        <v>74711.89</v>
      </c>
      <c r="F42" s="104">
        <f t="shared" si="9"/>
        <v>2303088.5899999943</v>
      </c>
      <c r="G42" s="104">
        <v>2332586.9900000002</v>
      </c>
      <c r="H42" s="105">
        <f t="shared" si="58"/>
        <v>-29498.40000000596</v>
      </c>
      <c r="I42" s="83">
        <v>0</v>
      </c>
      <c r="J42" s="83">
        <v>638646.16999999958</v>
      </c>
      <c r="K42" s="106">
        <f t="shared" si="11"/>
        <v>638646.16999999958</v>
      </c>
      <c r="L42" s="107">
        <v>638646.17000000004</v>
      </c>
      <c r="M42" s="106">
        <f t="shared" si="12"/>
        <v>0</v>
      </c>
      <c r="N42" s="83">
        <v>0</v>
      </c>
      <c r="O42" s="107">
        <v>0</v>
      </c>
      <c r="P42" s="106">
        <f t="shared" si="13"/>
        <v>0</v>
      </c>
      <c r="Q42" s="83">
        <v>3369777.4600000004</v>
      </c>
      <c r="R42" s="106">
        <v>62790.49</v>
      </c>
      <c r="S42" s="106">
        <v>3032608.08</v>
      </c>
      <c r="T42" s="106">
        <v>274804.21000000002</v>
      </c>
      <c r="U42" s="106">
        <f t="shared" si="59"/>
        <v>-425.31999999989057</v>
      </c>
      <c r="V42" s="83"/>
      <c r="W42" s="106">
        <v>0</v>
      </c>
      <c r="X42" s="106">
        <v>0</v>
      </c>
      <c r="Y42" s="106">
        <v>0</v>
      </c>
      <c r="Z42" s="106">
        <v>0</v>
      </c>
      <c r="AA42" s="106">
        <f t="shared" si="14"/>
        <v>0</v>
      </c>
      <c r="AB42" s="83">
        <v>2204626.1900000004</v>
      </c>
      <c r="AC42" s="83">
        <v>54642.69999999999</v>
      </c>
      <c r="AD42" s="83">
        <v>0</v>
      </c>
      <c r="AE42" s="83">
        <v>665602.52000000014</v>
      </c>
      <c r="AF42" s="83">
        <v>0</v>
      </c>
      <c r="AG42" s="83">
        <v>3121353.4499999997</v>
      </c>
      <c r="AH42" s="108"/>
      <c r="AI42" s="83">
        <v>2680102.659999996</v>
      </c>
      <c r="AJ42" s="83">
        <v>73709.829999999987</v>
      </c>
      <c r="AK42" s="83">
        <v>0</v>
      </c>
      <c r="AL42" s="83">
        <v>920123.56000000017</v>
      </c>
      <c r="AM42" s="83">
        <v>0</v>
      </c>
      <c r="AN42" s="83">
        <v>4152267.8899999992</v>
      </c>
      <c r="AO42" s="108"/>
      <c r="AP42" s="83">
        <v>2767628.4099999983</v>
      </c>
      <c r="AQ42" s="83">
        <v>86651.59</v>
      </c>
      <c r="AR42" s="83">
        <v>0</v>
      </c>
      <c r="AS42" s="83">
        <v>1112177.8100000005</v>
      </c>
      <c r="AT42" s="83">
        <v>0</v>
      </c>
      <c r="AU42" s="83">
        <v>3849233.6</v>
      </c>
      <c r="AV42" s="108"/>
      <c r="AW42" s="83">
        <v>1989966.9600000011</v>
      </c>
      <c r="AX42" s="83">
        <v>66208.799999999988</v>
      </c>
      <c r="AY42" s="83">
        <v>0</v>
      </c>
      <c r="AZ42" s="83">
        <v>784676.5299999998</v>
      </c>
      <c r="BA42" s="83">
        <v>0</v>
      </c>
      <c r="BB42" s="83">
        <v>3289554.64</v>
      </c>
      <c r="BC42" s="108"/>
    </row>
    <row r="43" spans="1:55">
      <c r="A43" s="80" t="s">
        <v>3</v>
      </c>
      <c r="B43" s="102">
        <v>208</v>
      </c>
      <c r="C43" s="103" t="s">
        <v>95</v>
      </c>
      <c r="D43" s="83">
        <v>0</v>
      </c>
      <c r="E43" s="83">
        <v>0</v>
      </c>
      <c r="F43" s="104">
        <f t="shared" si="9"/>
        <v>0</v>
      </c>
      <c r="G43" s="104">
        <v>0</v>
      </c>
      <c r="H43" s="105">
        <f t="shared" si="58"/>
        <v>0</v>
      </c>
      <c r="I43" s="83">
        <v>0</v>
      </c>
      <c r="J43" s="83">
        <v>0</v>
      </c>
      <c r="K43" s="106">
        <f t="shared" si="11"/>
        <v>0</v>
      </c>
      <c r="L43" s="107">
        <v>0</v>
      </c>
      <c r="M43" s="106">
        <f t="shared" si="12"/>
        <v>0</v>
      </c>
      <c r="N43" s="83">
        <v>0</v>
      </c>
      <c r="O43" s="107">
        <v>0</v>
      </c>
      <c r="P43" s="106">
        <f t="shared" si="13"/>
        <v>0</v>
      </c>
      <c r="Q43" s="83">
        <v>83026.23</v>
      </c>
      <c r="R43" s="106">
        <v>0</v>
      </c>
      <c r="S43" s="106">
        <v>83026.23</v>
      </c>
      <c r="T43" s="106">
        <v>0</v>
      </c>
      <c r="U43" s="106">
        <f t="shared" si="59"/>
        <v>0</v>
      </c>
      <c r="V43" s="83"/>
      <c r="W43" s="106">
        <v>0</v>
      </c>
      <c r="X43" s="106">
        <v>0</v>
      </c>
      <c r="Y43" s="106">
        <v>0</v>
      </c>
      <c r="Z43" s="106">
        <v>0</v>
      </c>
      <c r="AA43" s="106">
        <f t="shared" si="14"/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0</v>
      </c>
      <c r="AG43" s="83">
        <v>7412.88</v>
      </c>
      <c r="AH43" s="108"/>
      <c r="AI43" s="83">
        <v>0</v>
      </c>
      <c r="AJ43" s="83">
        <v>0</v>
      </c>
      <c r="AK43" s="83">
        <v>0</v>
      </c>
      <c r="AL43" s="83">
        <v>0</v>
      </c>
      <c r="AM43" s="83">
        <v>0</v>
      </c>
      <c r="AN43" s="83">
        <v>8035.5300000000007</v>
      </c>
      <c r="AO43" s="108"/>
      <c r="AP43" s="83"/>
      <c r="AQ43" s="83"/>
      <c r="AR43" s="83"/>
      <c r="AS43" s="83"/>
      <c r="AT43" s="83"/>
      <c r="AU43" s="83"/>
      <c r="AV43" s="108"/>
      <c r="AW43" s="83"/>
      <c r="AX43" s="83"/>
      <c r="AY43" s="83"/>
      <c r="AZ43" s="83"/>
      <c r="BA43" s="83"/>
      <c r="BB43" s="83"/>
      <c r="BC43" s="108"/>
    </row>
    <row r="44" spans="1:55">
      <c r="A44" s="80" t="s">
        <v>3</v>
      </c>
      <c r="B44" s="102">
        <v>209</v>
      </c>
      <c r="C44" s="103" t="s">
        <v>96</v>
      </c>
      <c r="D44" s="83">
        <v>0</v>
      </c>
      <c r="E44" s="83">
        <v>0</v>
      </c>
      <c r="F44" s="104">
        <f t="shared" si="9"/>
        <v>0</v>
      </c>
      <c r="G44" s="104">
        <v>0</v>
      </c>
      <c r="H44" s="105">
        <f t="shared" si="58"/>
        <v>0</v>
      </c>
      <c r="I44" s="83">
        <v>0</v>
      </c>
      <c r="J44" s="83">
        <v>0</v>
      </c>
      <c r="K44" s="106">
        <f t="shared" si="11"/>
        <v>0</v>
      </c>
      <c r="L44" s="107">
        <v>0</v>
      </c>
      <c r="M44" s="106">
        <f t="shared" si="12"/>
        <v>0</v>
      </c>
      <c r="N44" s="83">
        <v>1155820.8500000003</v>
      </c>
      <c r="O44" s="107">
        <v>1155820.8500000001</v>
      </c>
      <c r="P44" s="106">
        <f t="shared" si="13"/>
        <v>0</v>
      </c>
      <c r="Q44" s="83">
        <v>0</v>
      </c>
      <c r="R44" s="106">
        <v>0</v>
      </c>
      <c r="S44" s="106">
        <v>0</v>
      </c>
      <c r="T44" s="106">
        <v>0</v>
      </c>
      <c r="U44" s="106">
        <f t="shared" si="59"/>
        <v>0</v>
      </c>
      <c r="V44" s="83"/>
      <c r="W44" s="106">
        <v>0</v>
      </c>
      <c r="X44" s="106">
        <v>0</v>
      </c>
      <c r="Y44" s="106">
        <v>0</v>
      </c>
      <c r="Z44" s="106">
        <v>0</v>
      </c>
      <c r="AA44" s="106">
        <f t="shared" si="14"/>
        <v>0</v>
      </c>
      <c r="AB44" s="83">
        <v>0</v>
      </c>
      <c r="AC44" s="83">
        <v>0</v>
      </c>
      <c r="AD44" s="83">
        <v>0</v>
      </c>
      <c r="AE44" s="83">
        <v>0</v>
      </c>
      <c r="AF44" s="83">
        <v>1226362.3199999996</v>
      </c>
      <c r="AG44" s="83">
        <v>0</v>
      </c>
      <c r="AH44" s="108"/>
      <c r="AI44" s="83">
        <v>0</v>
      </c>
      <c r="AJ44" s="83">
        <v>0</v>
      </c>
      <c r="AK44" s="83">
        <v>0</v>
      </c>
      <c r="AL44" s="83">
        <v>0</v>
      </c>
      <c r="AM44" s="83">
        <v>1260098.0900000008</v>
      </c>
      <c r="AN44" s="83">
        <v>0</v>
      </c>
      <c r="AO44" s="108"/>
      <c r="AP44" s="83">
        <v>0</v>
      </c>
      <c r="AQ44" s="83">
        <v>0</v>
      </c>
      <c r="AR44" s="83">
        <v>0</v>
      </c>
      <c r="AS44" s="83">
        <v>0</v>
      </c>
      <c r="AT44" s="83">
        <v>505607.00999999972</v>
      </c>
      <c r="AU44" s="83">
        <v>0</v>
      </c>
      <c r="AV44" s="108"/>
      <c r="AW44" s="83">
        <v>0</v>
      </c>
      <c r="AX44" s="83">
        <v>0</v>
      </c>
      <c r="AY44" s="83">
        <v>0</v>
      </c>
      <c r="AZ44" s="83">
        <v>0</v>
      </c>
      <c r="BA44" s="83">
        <v>36489.340000000004</v>
      </c>
      <c r="BB44" s="83">
        <v>0</v>
      </c>
      <c r="BC44" s="108"/>
    </row>
    <row r="45" spans="1:55">
      <c r="A45" s="80" t="s">
        <v>3</v>
      </c>
      <c r="B45" s="102">
        <v>210</v>
      </c>
      <c r="C45" s="103" t="s">
        <v>97</v>
      </c>
      <c r="D45" s="83">
        <v>53217.97</v>
      </c>
      <c r="E45" s="83">
        <v>221240.87999999992</v>
      </c>
      <c r="F45" s="104">
        <f t="shared" si="9"/>
        <v>274458.84999999992</v>
      </c>
      <c r="G45" s="104">
        <v>274458.84999999998</v>
      </c>
      <c r="H45" s="105">
        <f t="shared" si="58"/>
        <v>0</v>
      </c>
      <c r="I45" s="83">
        <v>113416.01999999999</v>
      </c>
      <c r="J45" s="83">
        <v>52467.33</v>
      </c>
      <c r="K45" s="106">
        <f t="shared" si="11"/>
        <v>165883.34999999998</v>
      </c>
      <c r="L45" s="107">
        <v>165883.35</v>
      </c>
      <c r="M45" s="106">
        <f t="shared" si="12"/>
        <v>0</v>
      </c>
      <c r="N45" s="83">
        <v>16328.019999999999</v>
      </c>
      <c r="O45" s="107">
        <v>16328.02</v>
      </c>
      <c r="P45" s="106">
        <f t="shared" si="13"/>
        <v>0</v>
      </c>
      <c r="Q45" s="83">
        <v>269703.95</v>
      </c>
      <c r="R45" s="106">
        <v>5548.59</v>
      </c>
      <c r="S45" s="106">
        <v>9387.5</v>
      </c>
      <c r="T45" s="106">
        <v>254868.48000000001</v>
      </c>
      <c r="U45" s="106">
        <f t="shared" si="59"/>
        <v>-100.62000000002445</v>
      </c>
      <c r="V45" s="83"/>
      <c r="W45" s="106">
        <v>0</v>
      </c>
      <c r="X45" s="106">
        <v>0</v>
      </c>
      <c r="Y45" s="106">
        <v>0</v>
      </c>
      <c r="Z45" s="106">
        <v>0</v>
      </c>
      <c r="AA45" s="106">
        <f t="shared" si="14"/>
        <v>0</v>
      </c>
      <c r="AB45" s="83">
        <v>143592.32000000007</v>
      </c>
      <c r="AC45" s="83">
        <v>327990.38000000006</v>
      </c>
      <c r="AD45" s="83">
        <v>57308.21</v>
      </c>
      <c r="AE45" s="83">
        <v>49457.129999999983</v>
      </c>
      <c r="AF45" s="83">
        <v>11412.899999999998</v>
      </c>
      <c r="AG45" s="83">
        <v>254081.81</v>
      </c>
      <c r="AH45" s="108"/>
      <c r="AI45" s="83">
        <v>53539.289999999994</v>
      </c>
      <c r="AJ45" s="83">
        <v>276694.3</v>
      </c>
      <c r="AK45" s="83">
        <v>39190.669999999991</v>
      </c>
      <c r="AL45" s="83">
        <v>52810.640000000007</v>
      </c>
      <c r="AM45" s="83">
        <v>3310.9800000000009</v>
      </c>
      <c r="AN45" s="83">
        <v>239335.93999999997</v>
      </c>
      <c r="AO45" s="108"/>
      <c r="AP45" s="83">
        <v>92738.910000000018</v>
      </c>
      <c r="AQ45" s="83">
        <v>259712.4500000001</v>
      </c>
      <c r="AR45" s="83">
        <v>114163.18</v>
      </c>
      <c r="AS45" s="83">
        <v>43703.57</v>
      </c>
      <c r="AT45" s="83">
        <v>671.23</v>
      </c>
      <c r="AU45" s="83">
        <v>171632.71000000005</v>
      </c>
      <c r="AV45" s="108"/>
      <c r="AW45" s="83">
        <v>21008.039999999997</v>
      </c>
      <c r="AX45" s="83">
        <v>215713.72999999998</v>
      </c>
      <c r="AY45" s="83">
        <v>36392.82</v>
      </c>
      <c r="AZ45" s="83">
        <v>43037.049999999981</v>
      </c>
      <c r="BA45" s="83">
        <v>4029.94</v>
      </c>
      <c r="BB45" s="83">
        <v>267719.02999999997</v>
      </c>
      <c r="BC45" s="108"/>
    </row>
    <row r="46" spans="1:55">
      <c r="A46" s="80" t="s">
        <v>3</v>
      </c>
      <c r="B46" s="102">
        <v>211</v>
      </c>
      <c r="C46" s="103" t="s">
        <v>98</v>
      </c>
      <c r="D46" s="83">
        <v>279172.42</v>
      </c>
      <c r="E46" s="83">
        <v>889532.71</v>
      </c>
      <c r="F46" s="104">
        <f t="shared" si="9"/>
        <v>1168705.1299999999</v>
      </c>
      <c r="G46" s="104">
        <v>1168803.6599999999</v>
      </c>
      <c r="H46" s="105">
        <f t="shared" si="58"/>
        <v>-98.53000000002794</v>
      </c>
      <c r="I46" s="83">
        <v>1108807.8199999998</v>
      </c>
      <c r="J46" s="83">
        <v>206460.03000000006</v>
      </c>
      <c r="K46" s="106">
        <f t="shared" si="11"/>
        <v>1315267.8499999999</v>
      </c>
      <c r="L46" s="107">
        <v>1315267.8500000001</v>
      </c>
      <c r="M46" s="106">
        <f t="shared" si="12"/>
        <v>0</v>
      </c>
      <c r="N46" s="83">
        <v>216742.72</v>
      </c>
      <c r="O46" s="107">
        <v>216742.72</v>
      </c>
      <c r="P46" s="106">
        <f t="shared" si="13"/>
        <v>0</v>
      </c>
      <c r="Q46" s="83">
        <v>1726363.0999999999</v>
      </c>
      <c r="R46" s="106">
        <v>302285.52</v>
      </c>
      <c r="S46" s="106">
        <v>258903.42</v>
      </c>
      <c r="T46" s="106">
        <v>1180355.07</v>
      </c>
      <c r="U46" s="106">
        <f t="shared" si="59"/>
        <v>-15180.910000000149</v>
      </c>
      <c r="V46" s="83"/>
      <c r="W46" s="106">
        <v>0</v>
      </c>
      <c r="X46" s="106">
        <v>0</v>
      </c>
      <c r="Y46" s="106">
        <v>0</v>
      </c>
      <c r="Z46" s="106">
        <v>0</v>
      </c>
      <c r="AA46" s="106">
        <f t="shared" si="14"/>
        <v>0</v>
      </c>
      <c r="AB46" s="83">
        <v>195914.73</v>
      </c>
      <c r="AC46" s="83">
        <v>624660.18000000005</v>
      </c>
      <c r="AD46" s="83">
        <v>1034475.6299999999</v>
      </c>
      <c r="AE46" s="83">
        <v>202970.30999999997</v>
      </c>
      <c r="AF46" s="83">
        <v>126501.86</v>
      </c>
      <c r="AG46" s="83">
        <v>1097175.8600000001</v>
      </c>
      <c r="AH46" s="108"/>
      <c r="AI46" s="83">
        <v>161265.72999999998</v>
      </c>
      <c r="AJ46" s="83">
        <v>405574.66000000009</v>
      </c>
      <c r="AK46" s="83">
        <v>831765.8400000002</v>
      </c>
      <c r="AL46" s="83">
        <v>144077.47999999995</v>
      </c>
      <c r="AM46" s="83">
        <v>108305.74</v>
      </c>
      <c r="AN46" s="83">
        <v>631673.90999999992</v>
      </c>
      <c r="AO46" s="108"/>
      <c r="AP46" s="83">
        <v>178217.45000000004</v>
      </c>
      <c r="AQ46" s="83">
        <v>280201.03999999998</v>
      </c>
      <c r="AR46" s="83">
        <v>1439137.78</v>
      </c>
      <c r="AS46" s="83">
        <v>150689.27000000002</v>
      </c>
      <c r="AT46" s="83">
        <v>49835.429999999993</v>
      </c>
      <c r="AU46" s="83">
        <v>1383716.1800000002</v>
      </c>
      <c r="AV46" s="108"/>
      <c r="AW46" s="83">
        <v>137524.16</v>
      </c>
      <c r="AX46" s="83">
        <v>534891.60000000009</v>
      </c>
      <c r="AY46" s="83">
        <v>1540244.5400000005</v>
      </c>
      <c r="AZ46" s="83">
        <v>156954.90000000008</v>
      </c>
      <c r="BA46" s="83">
        <v>21848.400000000001</v>
      </c>
      <c r="BB46" s="83">
        <v>1772184.82</v>
      </c>
      <c r="BC46" s="108"/>
    </row>
    <row r="47" spans="1:55">
      <c r="A47" s="80" t="s">
        <v>3</v>
      </c>
      <c r="B47" s="102">
        <v>212</v>
      </c>
      <c r="C47" s="103" t="s">
        <v>99</v>
      </c>
      <c r="D47" s="83">
        <v>954893.9500000003</v>
      </c>
      <c r="E47" s="83">
        <v>2249167.5000000014</v>
      </c>
      <c r="F47" s="104">
        <f t="shared" si="9"/>
        <v>3204061.4500000016</v>
      </c>
      <c r="G47" s="104">
        <v>3204061.45</v>
      </c>
      <c r="H47" s="105">
        <f t="shared" si="58"/>
        <v>0</v>
      </c>
      <c r="I47" s="83">
        <v>1021699.57</v>
      </c>
      <c r="J47" s="83">
        <v>188986.50999999998</v>
      </c>
      <c r="K47" s="106">
        <f t="shared" si="11"/>
        <v>1210686.0799999998</v>
      </c>
      <c r="L47" s="107">
        <v>1210686.08</v>
      </c>
      <c r="M47" s="106">
        <f t="shared" si="12"/>
        <v>0</v>
      </c>
      <c r="N47" s="83">
        <v>441401.62</v>
      </c>
      <c r="O47" s="107">
        <v>441401.62</v>
      </c>
      <c r="P47" s="106">
        <f t="shared" si="13"/>
        <v>0</v>
      </c>
      <c r="Q47" s="83">
        <v>10097413.530000001</v>
      </c>
      <c r="R47" s="106">
        <v>77352</v>
      </c>
      <c r="S47" s="106">
        <v>791353.61</v>
      </c>
      <c r="T47" s="106">
        <v>9239153.6300000008</v>
      </c>
      <c r="U47" s="106">
        <f t="shared" si="59"/>
        <v>-10445.709999999031</v>
      </c>
      <c r="V47" s="83"/>
      <c r="W47" s="106">
        <v>0</v>
      </c>
      <c r="X47" s="106">
        <v>0</v>
      </c>
      <c r="Y47" s="106">
        <v>0</v>
      </c>
      <c r="Z47" s="106">
        <v>0</v>
      </c>
      <c r="AA47" s="106">
        <f t="shared" si="14"/>
        <v>0</v>
      </c>
      <c r="AB47" s="83">
        <v>959886.57000000007</v>
      </c>
      <c r="AC47" s="83">
        <v>2157979.5699999994</v>
      </c>
      <c r="AD47" s="83">
        <v>1052232.56</v>
      </c>
      <c r="AE47" s="83">
        <v>181072.23000000004</v>
      </c>
      <c r="AF47" s="83">
        <v>541900.94000000018</v>
      </c>
      <c r="AG47" s="83">
        <v>11749253.380000003</v>
      </c>
      <c r="AH47" s="108"/>
      <c r="AI47" s="83">
        <v>909321.50000000012</v>
      </c>
      <c r="AJ47" s="83">
        <v>2384657.5699999998</v>
      </c>
      <c r="AK47" s="83">
        <v>1085113.4899999998</v>
      </c>
      <c r="AL47" s="83">
        <v>233995.42999999996</v>
      </c>
      <c r="AM47" s="83">
        <v>790750.86000000034</v>
      </c>
      <c r="AN47" s="83">
        <v>11810481.880000001</v>
      </c>
      <c r="AO47" s="108"/>
      <c r="AP47" s="83">
        <v>952367.8899999999</v>
      </c>
      <c r="AQ47" s="83">
        <v>2480618.1599999992</v>
      </c>
      <c r="AR47" s="83">
        <v>1049469.67</v>
      </c>
      <c r="AS47" s="83">
        <v>387640.69</v>
      </c>
      <c r="AT47" s="83">
        <v>475338.4099999998</v>
      </c>
      <c r="AU47" s="83">
        <v>9754130.8599999957</v>
      </c>
      <c r="AV47" s="108"/>
      <c r="AW47" s="83">
        <v>972203.55999999959</v>
      </c>
      <c r="AX47" s="83">
        <v>2609412.5900000012</v>
      </c>
      <c r="AY47" s="83">
        <v>1077889.2999999998</v>
      </c>
      <c r="AZ47" s="83">
        <v>475362.75999999995</v>
      </c>
      <c r="BA47" s="83">
        <v>450274.58</v>
      </c>
      <c r="BB47" s="83">
        <v>8184112.1500000004</v>
      </c>
      <c r="BC47" s="108"/>
    </row>
    <row r="48" spans="1:55">
      <c r="A48" s="80" t="s">
        <v>3</v>
      </c>
      <c r="B48" s="102">
        <v>213</v>
      </c>
      <c r="C48" s="103" t="s">
        <v>100</v>
      </c>
      <c r="D48" s="83">
        <v>7018.3700000000008</v>
      </c>
      <c r="E48" s="83">
        <v>4335.9799999999996</v>
      </c>
      <c r="F48" s="104">
        <f t="shared" si="9"/>
        <v>11354.35</v>
      </c>
      <c r="G48" s="104">
        <v>11354.35</v>
      </c>
      <c r="H48" s="105">
        <f t="shared" si="58"/>
        <v>0</v>
      </c>
      <c r="I48" s="83">
        <v>58.5</v>
      </c>
      <c r="J48" s="83">
        <v>652.5</v>
      </c>
      <c r="K48" s="106">
        <f t="shared" si="11"/>
        <v>711</v>
      </c>
      <c r="L48" s="107">
        <v>711</v>
      </c>
      <c r="M48" s="106">
        <f t="shared" si="12"/>
        <v>0</v>
      </c>
      <c r="N48" s="83">
        <v>14987.96</v>
      </c>
      <c r="O48" s="107">
        <v>14987.96</v>
      </c>
      <c r="P48" s="106">
        <f t="shared" si="13"/>
        <v>0</v>
      </c>
      <c r="Q48" s="83">
        <v>38254.379999999997</v>
      </c>
      <c r="R48" s="106">
        <v>16933.32</v>
      </c>
      <c r="S48" s="106">
        <v>12881.21</v>
      </c>
      <c r="T48" s="106">
        <v>8439.85</v>
      </c>
      <c r="U48" s="106">
        <f t="shared" si="59"/>
        <v>0</v>
      </c>
      <c r="V48" s="83"/>
      <c r="W48" s="106">
        <v>0</v>
      </c>
      <c r="X48" s="106">
        <v>0</v>
      </c>
      <c r="Y48" s="106">
        <v>0</v>
      </c>
      <c r="Z48" s="106">
        <v>0</v>
      </c>
      <c r="AA48" s="106">
        <f t="shared" si="14"/>
        <v>0</v>
      </c>
      <c r="AB48" s="83">
        <v>12433.34</v>
      </c>
      <c r="AC48" s="83">
        <v>7239.32</v>
      </c>
      <c r="AD48" s="83">
        <v>525.29999999999995</v>
      </c>
      <c r="AE48" s="83">
        <v>4115.8999999999996</v>
      </c>
      <c r="AF48" s="83">
        <v>1540.27</v>
      </c>
      <c r="AG48" s="83">
        <v>22446.36</v>
      </c>
      <c r="AH48" s="108"/>
      <c r="AI48" s="83">
        <v>50109.179999999978</v>
      </c>
      <c r="AJ48" s="83">
        <v>30152.42</v>
      </c>
      <c r="AK48" s="83">
        <v>66</v>
      </c>
      <c r="AL48" s="83">
        <v>6228</v>
      </c>
      <c r="AM48" s="83">
        <v>3484.67</v>
      </c>
      <c r="AN48" s="83">
        <v>81887.97</v>
      </c>
      <c r="AO48" s="108"/>
      <c r="AP48" s="83">
        <v>4186.3500000000004</v>
      </c>
      <c r="AQ48" s="83">
        <v>8800.0600000000013</v>
      </c>
      <c r="AR48" s="83">
        <v>221.8</v>
      </c>
      <c r="AS48" s="83">
        <v>4726.7999999999993</v>
      </c>
      <c r="AT48" s="83">
        <v>5799.8</v>
      </c>
      <c r="AU48" s="83">
        <v>27803.7</v>
      </c>
      <c r="AV48" s="108"/>
      <c r="AW48" s="83">
        <v>0</v>
      </c>
      <c r="AX48" s="83">
        <v>2182.2799999999997</v>
      </c>
      <c r="AY48" s="83">
        <v>0</v>
      </c>
      <c r="AZ48" s="83">
        <v>15604</v>
      </c>
      <c r="BA48" s="83">
        <v>20509.189999999999</v>
      </c>
      <c r="BB48" s="83">
        <v>7583.1100000000006</v>
      </c>
      <c r="BC48" s="108"/>
    </row>
    <row r="49" spans="1:55">
      <c r="A49" s="80" t="s">
        <v>3</v>
      </c>
      <c r="B49" s="102">
        <v>214</v>
      </c>
      <c r="C49" s="103" t="s">
        <v>101</v>
      </c>
      <c r="D49" s="83">
        <v>302704.86999999988</v>
      </c>
      <c r="E49" s="83">
        <v>288868.31000000006</v>
      </c>
      <c r="F49" s="104">
        <f t="shared" si="9"/>
        <v>591573.17999999993</v>
      </c>
      <c r="G49" s="104">
        <v>593304.97</v>
      </c>
      <c r="H49" s="105">
        <f t="shared" si="58"/>
        <v>-1731.7900000000373</v>
      </c>
      <c r="I49" s="83">
        <v>14123.75</v>
      </c>
      <c r="J49" s="83">
        <v>220504.18000000002</v>
      </c>
      <c r="K49" s="106">
        <f t="shared" si="11"/>
        <v>234627.93000000002</v>
      </c>
      <c r="L49" s="107">
        <v>234627.93</v>
      </c>
      <c r="M49" s="106">
        <f t="shared" si="12"/>
        <v>0</v>
      </c>
      <c r="N49" s="83">
        <v>647949.86999999988</v>
      </c>
      <c r="O49" s="107">
        <v>647949.87</v>
      </c>
      <c r="P49" s="106">
        <f t="shared" si="13"/>
        <v>0</v>
      </c>
      <c r="Q49" s="83">
        <v>1817997.7</v>
      </c>
      <c r="R49" s="106">
        <v>275447.53000000003</v>
      </c>
      <c r="S49" s="106">
        <v>234951.33</v>
      </c>
      <c r="T49" s="106">
        <v>1320815.3799999999</v>
      </c>
      <c r="U49" s="106">
        <f t="shared" si="59"/>
        <v>-13216.540000000037</v>
      </c>
      <c r="V49" s="83"/>
      <c r="W49" s="106">
        <v>0</v>
      </c>
      <c r="X49" s="106">
        <v>0</v>
      </c>
      <c r="Y49" s="106">
        <v>0</v>
      </c>
      <c r="Z49" s="106">
        <v>0</v>
      </c>
      <c r="AA49" s="106">
        <f t="shared" si="14"/>
        <v>0</v>
      </c>
      <c r="AB49" s="83">
        <v>382723.88000000018</v>
      </c>
      <c r="AC49" s="83">
        <v>910974.7799999998</v>
      </c>
      <c r="AD49" s="83">
        <v>476213.31999999995</v>
      </c>
      <c r="AE49" s="83">
        <v>249384.7699999999</v>
      </c>
      <c r="AF49" s="83">
        <v>115650.79000000001</v>
      </c>
      <c r="AG49" s="83">
        <v>1895028.4699999997</v>
      </c>
      <c r="AH49" s="108"/>
      <c r="AI49" s="83">
        <v>327362.85000000009</v>
      </c>
      <c r="AJ49" s="83">
        <v>901905.08</v>
      </c>
      <c r="AK49" s="83">
        <v>13408.07</v>
      </c>
      <c r="AL49" s="83">
        <v>262747.32</v>
      </c>
      <c r="AM49" s="83">
        <v>83585.499999999985</v>
      </c>
      <c r="AN49" s="83">
        <v>1654668.1400000001</v>
      </c>
      <c r="AO49" s="108"/>
      <c r="AP49" s="83">
        <v>548758.71999999986</v>
      </c>
      <c r="AQ49" s="83">
        <v>729646.33000000007</v>
      </c>
      <c r="AR49" s="83">
        <v>23311.730000000003</v>
      </c>
      <c r="AS49" s="83">
        <v>363177.12999999983</v>
      </c>
      <c r="AT49" s="83">
        <v>139472.98000000001</v>
      </c>
      <c r="AU49" s="83">
        <v>2277844.9899999998</v>
      </c>
      <c r="AV49" s="108"/>
      <c r="AW49" s="83">
        <v>163588.11000000002</v>
      </c>
      <c r="AX49" s="83">
        <v>451090.57000000007</v>
      </c>
      <c r="AY49" s="83">
        <v>5500.1900000000005</v>
      </c>
      <c r="AZ49" s="83">
        <v>281289.85000000009</v>
      </c>
      <c r="BA49" s="83">
        <v>22633.810000000005</v>
      </c>
      <c r="BB49" s="83">
        <v>1276975.76</v>
      </c>
      <c r="BC49" s="108"/>
    </row>
    <row r="50" spans="1:55">
      <c r="A50" s="80" t="s">
        <v>3</v>
      </c>
      <c r="B50" s="102">
        <v>216</v>
      </c>
      <c r="C50" s="103" t="s">
        <v>102</v>
      </c>
      <c r="D50" s="83">
        <v>0</v>
      </c>
      <c r="E50" s="83">
        <v>10014447.479999995</v>
      </c>
      <c r="F50" s="104">
        <f t="shared" si="9"/>
        <v>10014447.479999995</v>
      </c>
      <c r="G50" s="104">
        <v>10014447.48</v>
      </c>
      <c r="H50" s="105">
        <f t="shared" si="58"/>
        <v>0</v>
      </c>
      <c r="I50" s="83">
        <v>3187559.3899999973</v>
      </c>
      <c r="J50" s="83">
        <v>0</v>
      </c>
      <c r="K50" s="106">
        <f t="shared" si="11"/>
        <v>3187559.3899999973</v>
      </c>
      <c r="L50" s="107">
        <v>3187559.39</v>
      </c>
      <c r="M50" s="106">
        <f t="shared" si="12"/>
        <v>0</v>
      </c>
      <c r="N50" s="83">
        <v>0</v>
      </c>
      <c r="O50" s="107">
        <v>0</v>
      </c>
      <c r="P50" s="106">
        <f t="shared" si="13"/>
        <v>0</v>
      </c>
      <c r="Q50" s="83">
        <v>0</v>
      </c>
      <c r="R50" s="106">
        <v>0</v>
      </c>
      <c r="S50" s="106">
        <v>0</v>
      </c>
      <c r="T50" s="106">
        <v>0</v>
      </c>
      <c r="U50" s="106">
        <f t="shared" si="59"/>
        <v>0</v>
      </c>
      <c r="V50" s="83"/>
      <c r="W50" s="106">
        <v>0</v>
      </c>
      <c r="X50" s="106">
        <v>0</v>
      </c>
      <c r="Y50" s="106">
        <v>0</v>
      </c>
      <c r="Z50" s="106">
        <v>0</v>
      </c>
      <c r="AA50" s="106">
        <f t="shared" si="14"/>
        <v>0</v>
      </c>
      <c r="AB50" s="83">
        <v>0</v>
      </c>
      <c r="AC50" s="83">
        <v>8018434.1000000061</v>
      </c>
      <c r="AD50" s="83">
        <v>3044242.4999999972</v>
      </c>
      <c r="AE50" s="83">
        <v>0</v>
      </c>
      <c r="AF50" s="83">
        <v>0</v>
      </c>
      <c r="AG50" s="83">
        <v>0</v>
      </c>
      <c r="AH50" s="108"/>
      <c r="AI50" s="83">
        <v>0</v>
      </c>
      <c r="AJ50" s="83">
        <v>7579161.169999999</v>
      </c>
      <c r="AK50" s="83">
        <v>3758121.2099999986</v>
      </c>
      <c r="AL50" s="83">
        <v>0</v>
      </c>
      <c r="AM50" s="83">
        <v>0</v>
      </c>
      <c r="AN50" s="83">
        <v>0</v>
      </c>
      <c r="AO50" s="108"/>
      <c r="AP50" s="83">
        <v>0</v>
      </c>
      <c r="AQ50" s="83">
        <v>5497037.8900000043</v>
      </c>
      <c r="AR50" s="83">
        <v>2718221.2000000016</v>
      </c>
      <c r="AS50" s="83">
        <v>0</v>
      </c>
      <c r="AT50" s="83">
        <v>0</v>
      </c>
      <c r="AU50" s="83">
        <v>0</v>
      </c>
      <c r="AV50" s="108"/>
      <c r="AW50" s="83">
        <v>0</v>
      </c>
      <c r="AX50" s="83">
        <v>5980777.1200000001</v>
      </c>
      <c r="AY50" s="83">
        <v>2778481.2999999989</v>
      </c>
      <c r="AZ50" s="83">
        <v>0</v>
      </c>
      <c r="BA50" s="83">
        <v>0</v>
      </c>
      <c r="BB50" s="83">
        <v>0</v>
      </c>
      <c r="BC50" s="108"/>
    </row>
    <row r="51" spans="1:55" s="112" customFormat="1">
      <c r="A51" s="109"/>
      <c r="B51" s="84"/>
      <c r="C51" s="103"/>
      <c r="D51" s="110"/>
      <c r="E51" s="110"/>
      <c r="F51" s="104"/>
      <c r="G51" s="104"/>
      <c r="H51" s="105"/>
      <c r="I51" s="110"/>
      <c r="J51" s="110"/>
      <c r="K51" s="106"/>
      <c r="L51" s="107"/>
      <c r="M51" s="106"/>
      <c r="N51" s="110"/>
      <c r="O51" s="107"/>
      <c r="P51" s="106"/>
      <c r="Q51" s="110"/>
      <c r="R51" s="106"/>
      <c r="S51" s="106"/>
      <c r="T51" s="106"/>
      <c r="U51" s="106"/>
      <c r="V51" s="110"/>
      <c r="W51" s="106"/>
      <c r="X51" s="106"/>
      <c r="Y51" s="106"/>
      <c r="Z51" s="106"/>
      <c r="AA51" s="106"/>
      <c r="AB51" s="110"/>
      <c r="AC51" s="110"/>
      <c r="AD51" s="110"/>
      <c r="AE51" s="110"/>
      <c r="AF51" s="83"/>
      <c r="AG51" s="83"/>
      <c r="AH51" s="111"/>
      <c r="AI51" s="83"/>
      <c r="AJ51" s="83"/>
      <c r="AK51" s="83"/>
      <c r="AL51" s="83"/>
      <c r="AM51" s="83"/>
      <c r="AN51" s="83"/>
      <c r="AO51" s="111"/>
      <c r="AP51" s="83"/>
      <c r="AQ51" s="83"/>
      <c r="AR51" s="83"/>
      <c r="AS51" s="83"/>
      <c r="AT51" s="83"/>
      <c r="AU51" s="83"/>
      <c r="AV51" s="111"/>
      <c r="AW51" s="83"/>
      <c r="AX51" s="83"/>
      <c r="AY51" s="83"/>
      <c r="AZ51" s="83"/>
      <c r="BA51" s="83"/>
      <c r="BB51" s="83"/>
      <c r="BC51" s="111"/>
    </row>
    <row r="52" spans="1:55">
      <c r="B52" s="87" t="s">
        <v>230</v>
      </c>
      <c r="C52" s="88"/>
      <c r="D52" s="98">
        <f>SUM(D53:D82)</f>
        <v>43346054.340000004</v>
      </c>
      <c r="E52" s="98">
        <f t="shared" ref="E52:Z52" si="60">SUM(E53:E82)</f>
        <v>150491510.56999999</v>
      </c>
      <c r="F52" s="99">
        <f t="shared" si="9"/>
        <v>193837564.91</v>
      </c>
      <c r="G52" s="99">
        <f>SUM(G53:G81)</f>
        <v>194390003.26000002</v>
      </c>
      <c r="H52" s="99">
        <f>F52-G52</f>
        <v>-552438.35000002384</v>
      </c>
      <c r="I52" s="98">
        <f t="shared" si="60"/>
        <v>45127669.870000005</v>
      </c>
      <c r="J52" s="98">
        <f t="shared" si="60"/>
        <v>89755266.450000018</v>
      </c>
      <c r="K52" s="100">
        <f t="shared" si="11"/>
        <v>134882936.32000002</v>
      </c>
      <c r="L52" s="100">
        <f>SUM(L53:L82)</f>
        <v>134882936.31999999</v>
      </c>
      <c r="M52" s="100">
        <f t="shared" si="12"/>
        <v>0</v>
      </c>
      <c r="N52" s="98">
        <f>SUM(N53:N82)</f>
        <v>78292462.660000011</v>
      </c>
      <c r="O52" s="100">
        <f>SUM(O53:O82)</f>
        <v>78292462.659999982</v>
      </c>
      <c r="P52" s="100">
        <f t="shared" si="13"/>
        <v>0</v>
      </c>
      <c r="Q52" s="98">
        <f t="shared" si="60"/>
        <v>133605171.53</v>
      </c>
      <c r="R52" s="100">
        <f>SUM(R53:R82)</f>
        <v>12638659.130000001</v>
      </c>
      <c r="S52" s="100">
        <f>SUM(S53:S82)</f>
        <v>54798255.549999997</v>
      </c>
      <c r="T52" s="100">
        <f>SUM(T53:T82)</f>
        <v>66446125.019999996</v>
      </c>
      <c r="U52" s="100">
        <f>Q52-R52-S52-T52</f>
        <v>-277868.16999998689</v>
      </c>
      <c r="V52" s="98">
        <f t="shared" si="60"/>
        <v>0</v>
      </c>
      <c r="W52" s="100">
        <f t="shared" si="60"/>
        <v>0</v>
      </c>
      <c r="X52" s="100">
        <f t="shared" si="60"/>
        <v>0</v>
      </c>
      <c r="Y52" s="100">
        <f t="shared" si="60"/>
        <v>0</v>
      </c>
      <c r="Z52" s="100">
        <f t="shared" si="60"/>
        <v>0</v>
      </c>
      <c r="AA52" s="100">
        <f t="shared" si="14"/>
        <v>0</v>
      </c>
      <c r="AB52" s="98">
        <f>SUM(AB53:AB82)</f>
        <v>46447910.010000043</v>
      </c>
      <c r="AC52" s="98">
        <f t="shared" ref="AC52:AE52" si="61">SUM(AC53:AC82)</f>
        <v>168635217.3600001</v>
      </c>
      <c r="AD52" s="98">
        <f t="shared" si="61"/>
        <v>44076438.899999976</v>
      </c>
      <c r="AE52" s="98">
        <f t="shared" si="61"/>
        <v>100617717.86000004</v>
      </c>
      <c r="AF52" s="98">
        <f>SUM(AF53:AF82)</f>
        <v>95401318.429999918</v>
      </c>
      <c r="AG52" s="98">
        <f t="shared" ref="AG52:AH52" si="62">SUM(AG53:AG82)</f>
        <v>130127156.13999997</v>
      </c>
      <c r="AH52" s="101">
        <f t="shared" si="62"/>
        <v>0</v>
      </c>
      <c r="AI52" s="98">
        <f>SUM(AI53:AI82)</f>
        <v>48887515.770000018</v>
      </c>
      <c r="AJ52" s="98">
        <f t="shared" ref="AJ52:AL52" si="63">SUM(AJ53:AJ82)</f>
        <v>188014117.12999967</v>
      </c>
      <c r="AK52" s="98">
        <f t="shared" si="63"/>
        <v>48102553.809999965</v>
      </c>
      <c r="AL52" s="98">
        <f t="shared" si="63"/>
        <v>113190002.62000002</v>
      </c>
      <c r="AM52" s="98">
        <f>SUM(AM53:AM82)</f>
        <v>104297275.89999993</v>
      </c>
      <c r="AN52" s="98">
        <f t="shared" ref="AN52:AO52" si="64">SUM(AN53:AN82)</f>
        <v>102407274.12000002</v>
      </c>
      <c r="AO52" s="101">
        <f t="shared" si="64"/>
        <v>0</v>
      </c>
      <c r="AP52" s="98">
        <f>SUM(AP53:AP82)</f>
        <v>56204134.020000018</v>
      </c>
      <c r="AQ52" s="98">
        <f t="shared" ref="AQ52:AS52" si="65">SUM(AQ53:AQ82)</f>
        <v>177936530.50000033</v>
      </c>
      <c r="AR52" s="98">
        <f t="shared" si="65"/>
        <v>48801162.209999993</v>
      </c>
      <c r="AS52" s="98">
        <f t="shared" si="65"/>
        <v>131699442.31</v>
      </c>
      <c r="AT52" s="98">
        <f>SUM(AT53:AT82)</f>
        <v>111136338.88000013</v>
      </c>
      <c r="AU52" s="98">
        <f t="shared" ref="AU52:AV52" si="66">SUM(AU53:AU82)</f>
        <v>104225539.53999999</v>
      </c>
      <c r="AV52" s="101">
        <f t="shared" si="66"/>
        <v>0</v>
      </c>
      <c r="AW52" s="98">
        <f>SUM(AW53:AW82)</f>
        <v>39411413.580000006</v>
      </c>
      <c r="AX52" s="98">
        <f t="shared" ref="AX52:AZ52" si="67">SUM(AX53:AX82)</f>
        <v>140699898.04999986</v>
      </c>
      <c r="AY52" s="98">
        <f t="shared" si="67"/>
        <v>32760794.98</v>
      </c>
      <c r="AZ52" s="98">
        <f t="shared" si="67"/>
        <v>88946993.579999954</v>
      </c>
      <c r="BA52" s="98">
        <f>SUM(BA53:BA82)</f>
        <v>85490243.589999974</v>
      </c>
      <c r="BB52" s="98">
        <f t="shared" ref="BB52:BC52" si="68">SUM(BB53:BB82)</f>
        <v>83090933.530000031</v>
      </c>
      <c r="BC52" s="101">
        <f t="shared" si="68"/>
        <v>0</v>
      </c>
    </row>
    <row r="53" spans="1:55">
      <c r="A53" s="80" t="s">
        <v>5</v>
      </c>
      <c r="B53" s="102">
        <v>301</v>
      </c>
      <c r="C53" s="103" t="s">
        <v>106</v>
      </c>
      <c r="D53" s="83">
        <v>14144220.020000003</v>
      </c>
      <c r="E53" s="83">
        <v>1215282.6799999997</v>
      </c>
      <c r="F53" s="104">
        <f t="shared" si="9"/>
        <v>15359502.700000003</v>
      </c>
      <c r="G53" s="104">
        <v>15654612.42</v>
      </c>
      <c r="H53" s="105">
        <f t="shared" ref="H53:H82" si="69">F53-G53</f>
        <v>-295109.71999999695</v>
      </c>
      <c r="I53" s="83">
        <v>155444.75</v>
      </c>
      <c r="J53" s="83">
        <v>11528181.520000007</v>
      </c>
      <c r="K53" s="106">
        <f t="shared" si="11"/>
        <v>11683626.270000007</v>
      </c>
      <c r="L53" s="107">
        <v>11683626.27</v>
      </c>
      <c r="M53" s="106">
        <f t="shared" si="12"/>
        <v>0</v>
      </c>
      <c r="N53" s="83">
        <v>0</v>
      </c>
      <c r="O53" s="107">
        <v>0</v>
      </c>
      <c r="P53" s="106">
        <f t="shared" si="13"/>
        <v>0</v>
      </c>
      <c r="Q53" s="83">
        <v>0</v>
      </c>
      <c r="R53" s="106">
        <v>0</v>
      </c>
      <c r="S53" s="106">
        <v>0</v>
      </c>
      <c r="T53" s="106">
        <v>0</v>
      </c>
      <c r="U53" s="106">
        <f t="shared" ref="U53:U82" si="70">Q53-R53-S53-T53</f>
        <v>0</v>
      </c>
      <c r="V53" s="83"/>
      <c r="W53" s="106">
        <v>0</v>
      </c>
      <c r="X53" s="106">
        <v>0</v>
      </c>
      <c r="Y53" s="106">
        <v>0</v>
      </c>
      <c r="Z53" s="106">
        <v>0</v>
      </c>
      <c r="AA53" s="106">
        <f t="shared" si="14"/>
        <v>0</v>
      </c>
      <c r="AB53" s="83">
        <v>14984970.170000013</v>
      </c>
      <c r="AC53" s="83">
        <v>2556115.5100000002</v>
      </c>
      <c r="AD53" s="83">
        <v>106263.34</v>
      </c>
      <c r="AE53" s="83">
        <v>11224914.760000007</v>
      </c>
      <c r="AF53" s="83">
        <v>0</v>
      </c>
      <c r="AG53" s="83">
        <v>0</v>
      </c>
      <c r="AH53" s="108"/>
      <c r="AI53" s="83">
        <v>15801794.170000007</v>
      </c>
      <c r="AJ53" s="83">
        <v>4224083.7999999961</v>
      </c>
      <c r="AK53" s="83">
        <v>48630.39</v>
      </c>
      <c r="AL53" s="83">
        <v>12056648.340000004</v>
      </c>
      <c r="AM53" s="83">
        <v>0</v>
      </c>
      <c r="AN53" s="83">
        <v>0</v>
      </c>
      <c r="AO53" s="108"/>
      <c r="AP53" s="83">
        <v>18723464.800000016</v>
      </c>
      <c r="AQ53" s="83">
        <v>1580521.8000000003</v>
      </c>
      <c r="AR53" s="83">
        <v>298637.51000000007</v>
      </c>
      <c r="AS53" s="83">
        <v>11526885.289999995</v>
      </c>
      <c r="AT53" s="83">
        <v>0</v>
      </c>
      <c r="AU53" s="83">
        <v>0</v>
      </c>
      <c r="AV53" s="108"/>
      <c r="AW53" s="83">
        <v>10794748.770000007</v>
      </c>
      <c r="AX53" s="83">
        <v>1689745.7599999991</v>
      </c>
      <c r="AY53" s="83">
        <v>153701.91999999998</v>
      </c>
      <c r="AZ53" s="83">
        <v>5510210.04</v>
      </c>
      <c r="BA53" s="83">
        <v>0</v>
      </c>
      <c r="BB53" s="83">
        <v>0</v>
      </c>
      <c r="BC53" s="108"/>
    </row>
    <row r="54" spans="1:55">
      <c r="A54" s="80" t="s">
        <v>5</v>
      </c>
      <c r="B54" s="102">
        <v>302</v>
      </c>
      <c r="C54" s="103" t="s">
        <v>107</v>
      </c>
      <c r="D54" s="83">
        <v>0</v>
      </c>
      <c r="E54" s="83">
        <v>0</v>
      </c>
      <c r="F54" s="104">
        <f t="shared" si="9"/>
        <v>0</v>
      </c>
      <c r="G54" s="104">
        <v>0</v>
      </c>
      <c r="H54" s="105">
        <f t="shared" si="69"/>
        <v>0</v>
      </c>
      <c r="I54" s="83">
        <v>0</v>
      </c>
      <c r="J54" s="83">
        <v>0</v>
      </c>
      <c r="K54" s="106">
        <f t="shared" si="11"/>
        <v>0</v>
      </c>
      <c r="L54" s="107">
        <v>0</v>
      </c>
      <c r="M54" s="106">
        <f t="shared" si="12"/>
        <v>0</v>
      </c>
      <c r="N54" s="83">
        <v>777030.7</v>
      </c>
      <c r="O54" s="107">
        <v>777030.7</v>
      </c>
      <c r="P54" s="106">
        <f t="shared" si="13"/>
        <v>0</v>
      </c>
      <c r="Q54" s="83">
        <v>4843170.2399999993</v>
      </c>
      <c r="R54" s="106">
        <v>869531.27</v>
      </c>
      <c r="S54" s="106">
        <v>2789008.83</v>
      </c>
      <c r="T54" s="106">
        <v>1186030.1399999999</v>
      </c>
      <c r="U54" s="106">
        <f t="shared" si="70"/>
        <v>-1400.0000000006985</v>
      </c>
      <c r="V54" s="83"/>
      <c r="W54" s="106">
        <v>0</v>
      </c>
      <c r="X54" s="106">
        <v>0</v>
      </c>
      <c r="Y54" s="106">
        <v>0</v>
      </c>
      <c r="Z54" s="106">
        <v>0</v>
      </c>
      <c r="AA54" s="106">
        <f t="shared" si="14"/>
        <v>0</v>
      </c>
      <c r="AB54" s="83">
        <v>0</v>
      </c>
      <c r="AC54" s="83">
        <v>0</v>
      </c>
      <c r="AD54" s="83">
        <v>0</v>
      </c>
      <c r="AE54" s="83">
        <v>0</v>
      </c>
      <c r="AF54" s="83">
        <v>772036.63000000012</v>
      </c>
      <c r="AG54" s="83">
        <v>5028837.290000001</v>
      </c>
      <c r="AH54" s="108"/>
      <c r="AI54" s="83">
        <v>0</v>
      </c>
      <c r="AJ54" s="83">
        <v>0</v>
      </c>
      <c r="AK54" s="83">
        <v>0</v>
      </c>
      <c r="AL54" s="83">
        <v>0</v>
      </c>
      <c r="AM54" s="83">
        <v>825008.59</v>
      </c>
      <c r="AN54" s="83">
        <v>6846434.2599999988</v>
      </c>
      <c r="AO54" s="108"/>
      <c r="AP54" s="83">
        <v>0</v>
      </c>
      <c r="AQ54" s="83">
        <v>0</v>
      </c>
      <c r="AR54" s="83">
        <v>0</v>
      </c>
      <c r="AS54" s="83">
        <v>0</v>
      </c>
      <c r="AT54" s="83">
        <v>757613.02000000014</v>
      </c>
      <c r="AU54" s="83">
        <v>8704117.5600000005</v>
      </c>
      <c r="AV54" s="108"/>
      <c r="AW54" s="83">
        <v>0</v>
      </c>
      <c r="AX54" s="83">
        <v>0</v>
      </c>
      <c r="AY54" s="83">
        <v>0</v>
      </c>
      <c r="AZ54" s="83">
        <v>0</v>
      </c>
      <c r="BA54" s="83">
        <v>352722.56000000035</v>
      </c>
      <c r="BB54" s="83">
        <v>6138093.6300000008</v>
      </c>
      <c r="BC54" s="108"/>
    </row>
    <row r="55" spans="1:55">
      <c r="A55" s="80" t="s">
        <v>5</v>
      </c>
      <c r="B55" s="102">
        <v>303</v>
      </c>
      <c r="C55" s="103" t="s">
        <v>108</v>
      </c>
      <c r="D55" s="83">
        <v>3691177.7999999993</v>
      </c>
      <c r="E55" s="83">
        <v>2620495.1600000015</v>
      </c>
      <c r="F55" s="104">
        <f t="shared" si="9"/>
        <v>6311672.9600000009</v>
      </c>
      <c r="G55" s="104">
        <v>6415025.2699999996</v>
      </c>
      <c r="H55" s="105">
        <f t="shared" si="69"/>
        <v>-103352.30999999866</v>
      </c>
      <c r="I55" s="83">
        <v>199865.11</v>
      </c>
      <c r="J55" s="83">
        <v>1985475.8000000003</v>
      </c>
      <c r="K55" s="106">
        <f t="shared" si="11"/>
        <v>2185340.91</v>
      </c>
      <c r="L55" s="107">
        <v>2185340.91</v>
      </c>
      <c r="M55" s="106">
        <f t="shared" si="12"/>
        <v>0</v>
      </c>
      <c r="N55" s="83">
        <v>3755324.7899999972</v>
      </c>
      <c r="O55" s="107">
        <v>3755324.79</v>
      </c>
      <c r="P55" s="106">
        <f t="shared" si="13"/>
        <v>0</v>
      </c>
      <c r="Q55" s="83">
        <v>12381383.110000003</v>
      </c>
      <c r="R55" s="106">
        <v>2121522.0299999998</v>
      </c>
      <c r="S55" s="106">
        <v>5175645.5999999996</v>
      </c>
      <c r="T55" s="106">
        <v>5085564.6500000004</v>
      </c>
      <c r="U55" s="106">
        <f t="shared" si="70"/>
        <v>-1349.1699999962002</v>
      </c>
      <c r="V55" s="83"/>
      <c r="W55" s="106">
        <v>0</v>
      </c>
      <c r="X55" s="106">
        <v>0</v>
      </c>
      <c r="Y55" s="106">
        <v>0</v>
      </c>
      <c r="Z55" s="106">
        <v>0</v>
      </c>
      <c r="AA55" s="106">
        <f t="shared" si="14"/>
        <v>0</v>
      </c>
      <c r="AB55" s="83">
        <v>3829132.5300000012</v>
      </c>
      <c r="AC55" s="83">
        <v>2583638.44</v>
      </c>
      <c r="AD55" s="83">
        <v>263828.72000000003</v>
      </c>
      <c r="AE55" s="83">
        <v>2058129.5200000007</v>
      </c>
      <c r="AF55" s="83">
        <v>4312401.6700000009</v>
      </c>
      <c r="AG55" s="83">
        <v>13194519.960000001</v>
      </c>
      <c r="AH55" s="108"/>
      <c r="AI55" s="83">
        <v>3529551.2999999984</v>
      </c>
      <c r="AJ55" s="83">
        <v>2447895.399999999</v>
      </c>
      <c r="AK55" s="83">
        <v>307154.15000000002</v>
      </c>
      <c r="AL55" s="83">
        <v>2272404.9899999988</v>
      </c>
      <c r="AM55" s="83">
        <v>4519302.4700000016</v>
      </c>
      <c r="AN55" s="83">
        <v>13076022.379999999</v>
      </c>
      <c r="AO55" s="108"/>
      <c r="AP55" s="83">
        <v>4177593.4900000016</v>
      </c>
      <c r="AQ55" s="83">
        <v>2975774.5100000002</v>
      </c>
      <c r="AR55" s="83">
        <v>351392.98</v>
      </c>
      <c r="AS55" s="83">
        <v>2443575.7600000002</v>
      </c>
      <c r="AT55" s="83">
        <v>5002075.71</v>
      </c>
      <c r="AU55" s="83">
        <v>12184511.689999998</v>
      </c>
      <c r="AV55" s="108"/>
      <c r="AW55" s="83">
        <v>3190849.4600000014</v>
      </c>
      <c r="AX55" s="83">
        <v>2394507.64</v>
      </c>
      <c r="AY55" s="83">
        <v>289988.75000000012</v>
      </c>
      <c r="AZ55" s="83">
        <v>2004534.82</v>
      </c>
      <c r="BA55" s="83">
        <v>3985558.5300000012</v>
      </c>
      <c r="BB55" s="83">
        <v>9384129.5200000033</v>
      </c>
      <c r="BC55" s="108"/>
    </row>
    <row r="56" spans="1:55">
      <c r="A56" s="80" t="s">
        <v>5</v>
      </c>
      <c r="B56" s="102">
        <v>304</v>
      </c>
      <c r="C56" s="103" t="s">
        <v>109</v>
      </c>
      <c r="D56" s="83">
        <v>251429.93000000002</v>
      </c>
      <c r="E56" s="83">
        <v>129648.17</v>
      </c>
      <c r="F56" s="104">
        <f t="shared" si="9"/>
        <v>381078.10000000003</v>
      </c>
      <c r="G56" s="104">
        <v>381563.56</v>
      </c>
      <c r="H56" s="105">
        <f t="shared" si="69"/>
        <v>-485.45999999996275</v>
      </c>
      <c r="I56" s="83">
        <v>283101.26999999996</v>
      </c>
      <c r="J56" s="83">
        <v>112687.56</v>
      </c>
      <c r="K56" s="106">
        <f t="shared" si="11"/>
        <v>395788.82999999996</v>
      </c>
      <c r="L56" s="107">
        <v>395788.83</v>
      </c>
      <c r="M56" s="106">
        <f t="shared" si="12"/>
        <v>0</v>
      </c>
      <c r="N56" s="83">
        <v>6230</v>
      </c>
      <c r="O56" s="107">
        <v>6230</v>
      </c>
      <c r="P56" s="106">
        <f t="shared" si="13"/>
        <v>0</v>
      </c>
      <c r="Q56" s="83">
        <v>7450137.0900000008</v>
      </c>
      <c r="R56" s="106">
        <v>6196967.6399999997</v>
      </c>
      <c r="S56" s="106">
        <v>1151061.3</v>
      </c>
      <c r="T56" s="106">
        <v>102108.15</v>
      </c>
      <c r="U56" s="106">
        <f t="shared" si="70"/>
        <v>1.076841726899147E-9</v>
      </c>
      <c r="V56" s="83"/>
      <c r="W56" s="106">
        <v>0</v>
      </c>
      <c r="X56" s="106">
        <v>0</v>
      </c>
      <c r="Y56" s="106">
        <v>0</v>
      </c>
      <c r="Z56" s="106">
        <v>0</v>
      </c>
      <c r="AA56" s="106">
        <f t="shared" si="14"/>
        <v>0</v>
      </c>
      <c r="AB56" s="83">
        <v>325416.41000000003</v>
      </c>
      <c r="AC56" s="83">
        <v>703782.17000000016</v>
      </c>
      <c r="AD56" s="83">
        <v>143458.28999999998</v>
      </c>
      <c r="AE56" s="83">
        <v>197460.59000000003</v>
      </c>
      <c r="AF56" s="83">
        <v>8050</v>
      </c>
      <c r="AG56" s="83">
        <v>4718645.92</v>
      </c>
      <c r="AH56" s="108"/>
      <c r="AI56" s="83">
        <v>625774.35000000009</v>
      </c>
      <c r="AJ56" s="83">
        <v>26532.26</v>
      </c>
      <c r="AK56" s="83">
        <v>152930.6</v>
      </c>
      <c r="AL56" s="83">
        <v>294159.39999999997</v>
      </c>
      <c r="AM56" s="83">
        <v>120967.07</v>
      </c>
      <c r="AN56" s="83">
        <v>4354392.5600000005</v>
      </c>
      <c r="AO56" s="108"/>
      <c r="AP56" s="83">
        <v>2573496.2199999993</v>
      </c>
      <c r="AQ56" s="83">
        <v>170751.56000000006</v>
      </c>
      <c r="AR56" s="83">
        <v>3310.78</v>
      </c>
      <c r="AS56" s="83">
        <v>323814.83999999991</v>
      </c>
      <c r="AT56" s="83">
        <v>9086.09</v>
      </c>
      <c r="AU56" s="83">
        <v>14982845.91</v>
      </c>
      <c r="AV56" s="108"/>
      <c r="AW56" s="83">
        <v>2703486.1399999997</v>
      </c>
      <c r="AX56" s="83">
        <v>303078.63</v>
      </c>
      <c r="AY56" s="83">
        <v>22700</v>
      </c>
      <c r="AZ56" s="83">
        <v>192380.21</v>
      </c>
      <c r="BA56" s="83">
        <v>8000</v>
      </c>
      <c r="BB56" s="83">
        <v>19171323.149999999</v>
      </c>
      <c r="BC56" s="108"/>
    </row>
    <row r="57" spans="1:55">
      <c r="A57" s="80" t="s">
        <v>5</v>
      </c>
      <c r="B57" s="102">
        <v>305</v>
      </c>
      <c r="C57" s="103" t="s">
        <v>110</v>
      </c>
      <c r="D57" s="83">
        <v>0</v>
      </c>
      <c r="E57" s="83">
        <v>0</v>
      </c>
      <c r="F57" s="104">
        <f t="shared" si="9"/>
        <v>0</v>
      </c>
      <c r="G57" s="104">
        <v>0</v>
      </c>
      <c r="H57" s="105">
        <f t="shared" si="69"/>
        <v>0</v>
      </c>
      <c r="I57" s="83">
        <v>0</v>
      </c>
      <c r="J57" s="83">
        <v>0</v>
      </c>
      <c r="K57" s="106">
        <f t="shared" si="11"/>
        <v>0</v>
      </c>
      <c r="L57" s="107">
        <v>0</v>
      </c>
      <c r="M57" s="106">
        <f t="shared" si="12"/>
        <v>0</v>
      </c>
      <c r="N57" s="83">
        <v>0</v>
      </c>
      <c r="O57" s="107">
        <v>0</v>
      </c>
      <c r="P57" s="106">
        <f t="shared" si="13"/>
        <v>0</v>
      </c>
      <c r="Q57" s="83">
        <v>7535875.3199999994</v>
      </c>
      <c r="R57" s="106">
        <v>0</v>
      </c>
      <c r="S57" s="106">
        <v>7422706.5499999998</v>
      </c>
      <c r="T57" s="106">
        <v>113168.77</v>
      </c>
      <c r="U57" s="106">
        <f t="shared" si="70"/>
        <v>-4.5110937207937241E-10</v>
      </c>
      <c r="V57" s="83"/>
      <c r="W57" s="106">
        <v>0</v>
      </c>
      <c r="X57" s="106">
        <v>0</v>
      </c>
      <c r="Y57" s="106">
        <v>0</v>
      </c>
      <c r="Z57" s="106">
        <v>0</v>
      </c>
      <c r="AA57" s="106">
        <f t="shared" si="14"/>
        <v>0</v>
      </c>
      <c r="AB57" s="83">
        <v>0</v>
      </c>
      <c r="AC57" s="83">
        <v>0</v>
      </c>
      <c r="AD57" s="83">
        <v>0</v>
      </c>
      <c r="AE57" s="83">
        <v>0</v>
      </c>
      <c r="AF57" s="83">
        <v>3261.4300000000003</v>
      </c>
      <c r="AG57" s="83">
        <v>8283187.0200000005</v>
      </c>
      <c r="AH57" s="108"/>
      <c r="AI57" s="83">
        <v>0</v>
      </c>
      <c r="AJ57" s="83">
        <v>0</v>
      </c>
      <c r="AK57" s="83">
        <v>0</v>
      </c>
      <c r="AL57" s="83">
        <v>0</v>
      </c>
      <c r="AM57" s="83">
        <v>35</v>
      </c>
      <c r="AN57" s="83">
        <v>9683916.4399999995</v>
      </c>
      <c r="AO57" s="108"/>
      <c r="AP57" s="83">
        <v>0</v>
      </c>
      <c r="AQ57" s="83">
        <v>0</v>
      </c>
      <c r="AR57" s="83">
        <v>0</v>
      </c>
      <c r="AS57" s="83">
        <v>0</v>
      </c>
      <c r="AT57" s="83">
        <v>27.95</v>
      </c>
      <c r="AU57" s="83">
        <v>10859919.899999999</v>
      </c>
      <c r="AV57" s="108"/>
      <c r="AW57" s="83">
        <v>0</v>
      </c>
      <c r="AX57" s="83">
        <v>0</v>
      </c>
      <c r="AY57" s="83">
        <v>0</v>
      </c>
      <c r="AZ57" s="83">
        <v>0</v>
      </c>
      <c r="BA57" s="83">
        <v>0</v>
      </c>
      <c r="BB57" s="83">
        <v>6317562.8000000007</v>
      </c>
      <c r="BC57" s="108"/>
    </row>
    <row r="58" spans="1:55">
      <c r="A58" s="80" t="s">
        <v>5</v>
      </c>
      <c r="B58" s="102">
        <v>306</v>
      </c>
      <c r="C58" s="103" t="s">
        <v>111</v>
      </c>
      <c r="D58" s="83">
        <v>0</v>
      </c>
      <c r="E58" s="83">
        <v>0</v>
      </c>
      <c r="F58" s="104">
        <f t="shared" si="9"/>
        <v>0</v>
      </c>
      <c r="G58" s="104">
        <v>0</v>
      </c>
      <c r="H58" s="105">
        <f t="shared" si="69"/>
        <v>0</v>
      </c>
      <c r="I58" s="83">
        <v>0</v>
      </c>
      <c r="J58" s="83">
        <v>0</v>
      </c>
      <c r="K58" s="106">
        <f t="shared" si="11"/>
        <v>0</v>
      </c>
      <c r="L58" s="107">
        <v>0</v>
      </c>
      <c r="M58" s="106">
        <f t="shared" si="12"/>
        <v>0</v>
      </c>
      <c r="N58" s="83">
        <v>7554485.6500000013</v>
      </c>
      <c r="O58" s="107">
        <v>7554485.6500000004</v>
      </c>
      <c r="P58" s="106">
        <f t="shared" si="13"/>
        <v>0</v>
      </c>
      <c r="Q58" s="83">
        <v>4688.2</v>
      </c>
      <c r="R58" s="106">
        <v>0</v>
      </c>
      <c r="S58" s="106">
        <v>4688.2</v>
      </c>
      <c r="T58" s="106">
        <v>0</v>
      </c>
      <c r="U58" s="106">
        <f t="shared" si="70"/>
        <v>0</v>
      </c>
      <c r="V58" s="83"/>
      <c r="W58" s="106">
        <v>0</v>
      </c>
      <c r="X58" s="106">
        <v>0</v>
      </c>
      <c r="Y58" s="106">
        <v>0</v>
      </c>
      <c r="Z58" s="106">
        <v>0</v>
      </c>
      <c r="AA58" s="106">
        <f t="shared" si="14"/>
        <v>0</v>
      </c>
      <c r="AB58" s="83">
        <v>0</v>
      </c>
      <c r="AC58" s="83">
        <v>0</v>
      </c>
      <c r="AD58" s="83">
        <v>0</v>
      </c>
      <c r="AE58" s="83">
        <v>0</v>
      </c>
      <c r="AF58" s="83">
        <v>12007926.749999989</v>
      </c>
      <c r="AG58" s="83">
        <v>6688.52</v>
      </c>
      <c r="AH58" s="108"/>
      <c r="AI58" s="83">
        <v>0</v>
      </c>
      <c r="AJ58" s="83">
        <v>0</v>
      </c>
      <c r="AK58" s="83">
        <v>0</v>
      </c>
      <c r="AL58" s="83">
        <v>0</v>
      </c>
      <c r="AM58" s="83">
        <v>17768142.609999962</v>
      </c>
      <c r="AN58" s="83">
        <v>5690.96</v>
      </c>
      <c r="AO58" s="108"/>
      <c r="AP58" s="83">
        <v>0</v>
      </c>
      <c r="AQ58" s="83">
        <v>0</v>
      </c>
      <c r="AR58" s="83">
        <v>0</v>
      </c>
      <c r="AS58" s="83">
        <v>0</v>
      </c>
      <c r="AT58" s="83">
        <v>31450358.18000003</v>
      </c>
      <c r="AU58" s="83">
        <v>0</v>
      </c>
      <c r="AV58" s="108"/>
      <c r="AW58" s="83">
        <v>0</v>
      </c>
      <c r="AX58" s="83">
        <v>0</v>
      </c>
      <c r="AY58" s="83">
        <v>0</v>
      </c>
      <c r="AZ58" s="83">
        <v>0</v>
      </c>
      <c r="BA58" s="83">
        <v>26151114.829999998</v>
      </c>
      <c r="BB58" s="83">
        <v>0</v>
      </c>
      <c r="BC58" s="108"/>
    </row>
    <row r="59" spans="1:55">
      <c r="A59" s="80" t="s">
        <v>5</v>
      </c>
      <c r="B59" s="102">
        <v>308</v>
      </c>
      <c r="C59" s="103" t="s">
        <v>112</v>
      </c>
      <c r="D59" s="83">
        <v>782478.73999999976</v>
      </c>
      <c r="E59" s="83">
        <v>522051.67999999993</v>
      </c>
      <c r="F59" s="104">
        <f t="shared" si="9"/>
        <v>1304530.4199999997</v>
      </c>
      <c r="G59" s="104">
        <v>1304530.42</v>
      </c>
      <c r="H59" s="105">
        <f t="shared" si="69"/>
        <v>0</v>
      </c>
      <c r="I59" s="83">
        <v>6774.75</v>
      </c>
      <c r="J59" s="83">
        <v>29689.08</v>
      </c>
      <c r="K59" s="106">
        <f t="shared" si="11"/>
        <v>36463.83</v>
      </c>
      <c r="L59" s="107">
        <v>36463.83</v>
      </c>
      <c r="M59" s="106">
        <f t="shared" si="12"/>
        <v>0</v>
      </c>
      <c r="N59" s="83">
        <v>444665.99</v>
      </c>
      <c r="O59" s="107">
        <v>444665.99</v>
      </c>
      <c r="P59" s="106">
        <f t="shared" si="13"/>
        <v>0</v>
      </c>
      <c r="Q59" s="83">
        <v>18948279.049999997</v>
      </c>
      <c r="R59" s="106">
        <v>667549.75</v>
      </c>
      <c r="S59" s="106">
        <v>10712271.42</v>
      </c>
      <c r="T59" s="106">
        <v>7582813.8399999999</v>
      </c>
      <c r="U59" s="106">
        <f t="shared" si="70"/>
        <v>-14355.960000002757</v>
      </c>
      <c r="V59" s="83"/>
      <c r="W59" s="106">
        <v>0</v>
      </c>
      <c r="X59" s="106">
        <v>0</v>
      </c>
      <c r="Y59" s="106">
        <v>0</v>
      </c>
      <c r="Z59" s="106">
        <v>0</v>
      </c>
      <c r="AA59" s="106">
        <f t="shared" si="14"/>
        <v>0</v>
      </c>
      <c r="AB59" s="83">
        <v>722763.01999999979</v>
      </c>
      <c r="AC59" s="83">
        <v>509513.23000000004</v>
      </c>
      <c r="AD59" s="83">
        <v>9205.0199999999986</v>
      </c>
      <c r="AE59" s="83">
        <v>26802.400000000001</v>
      </c>
      <c r="AF59" s="83">
        <v>375056.16</v>
      </c>
      <c r="AG59" s="83">
        <v>17825169.409999996</v>
      </c>
      <c r="AH59" s="108"/>
      <c r="AI59" s="83">
        <v>246833.02000000002</v>
      </c>
      <c r="AJ59" s="83">
        <v>185037.46000000005</v>
      </c>
      <c r="AK59" s="83">
        <v>10136.549999999997</v>
      </c>
      <c r="AL59" s="83">
        <v>11224.66</v>
      </c>
      <c r="AM59" s="83">
        <v>849236.51000000071</v>
      </c>
      <c r="AN59" s="83">
        <v>17068270.550000004</v>
      </c>
      <c r="AO59" s="108"/>
      <c r="AP59" s="83">
        <v>236268.0299999998</v>
      </c>
      <c r="AQ59" s="83">
        <v>206073.17999999993</v>
      </c>
      <c r="AR59" s="83">
        <v>18313.750000000004</v>
      </c>
      <c r="AS59" s="83">
        <v>33245.81</v>
      </c>
      <c r="AT59" s="83">
        <v>2382432.1700000009</v>
      </c>
      <c r="AU59" s="83">
        <v>15339316.389999997</v>
      </c>
      <c r="AV59" s="108"/>
      <c r="AW59" s="83">
        <v>506388.01999999961</v>
      </c>
      <c r="AX59" s="83">
        <v>355264.93000000005</v>
      </c>
      <c r="AY59" s="83">
        <v>20378.97</v>
      </c>
      <c r="AZ59" s="83">
        <v>54322.079999999994</v>
      </c>
      <c r="BA59" s="83">
        <v>2195680.0299999998</v>
      </c>
      <c r="BB59" s="83">
        <v>10097292.029999999</v>
      </c>
      <c r="BC59" s="108"/>
    </row>
    <row r="60" spans="1:55">
      <c r="A60" s="80" t="s">
        <v>5</v>
      </c>
      <c r="B60" s="102">
        <v>309</v>
      </c>
      <c r="C60" s="103" t="s">
        <v>113</v>
      </c>
      <c r="D60" s="83">
        <v>16655920.430000018</v>
      </c>
      <c r="E60" s="83">
        <v>3001162.3400000008</v>
      </c>
      <c r="F60" s="104">
        <f t="shared" si="9"/>
        <v>19657082.770000018</v>
      </c>
      <c r="G60" s="104">
        <v>19810565.170000002</v>
      </c>
      <c r="H60" s="105">
        <f t="shared" si="69"/>
        <v>-153482.39999998361</v>
      </c>
      <c r="I60" s="83">
        <v>244374.06000000003</v>
      </c>
      <c r="J60" s="83">
        <v>14386731.24</v>
      </c>
      <c r="K60" s="106">
        <f t="shared" si="11"/>
        <v>14631105.300000001</v>
      </c>
      <c r="L60" s="107">
        <v>14631105.300000001</v>
      </c>
      <c r="M60" s="106">
        <f t="shared" si="12"/>
        <v>0</v>
      </c>
      <c r="N60" s="83">
        <v>1401651.7299999995</v>
      </c>
      <c r="O60" s="107">
        <v>1401651.73</v>
      </c>
      <c r="P60" s="106">
        <f t="shared" si="13"/>
        <v>0</v>
      </c>
      <c r="Q60" s="83">
        <v>11051935.699999999</v>
      </c>
      <c r="R60" s="106">
        <v>279026.96000000002</v>
      </c>
      <c r="S60" s="106">
        <v>5391674.79</v>
      </c>
      <c r="T60" s="106">
        <v>5381233.9500000002</v>
      </c>
      <c r="U60" s="106">
        <f t="shared" si="70"/>
        <v>0</v>
      </c>
      <c r="V60" s="83"/>
      <c r="W60" s="106">
        <v>0</v>
      </c>
      <c r="X60" s="106">
        <v>0</v>
      </c>
      <c r="Y60" s="106">
        <v>0</v>
      </c>
      <c r="Z60" s="106">
        <v>0</v>
      </c>
      <c r="AA60" s="106">
        <f t="shared" si="14"/>
        <v>0</v>
      </c>
      <c r="AB60" s="83">
        <v>19009816.670000032</v>
      </c>
      <c r="AC60" s="83">
        <v>3944777.5899999989</v>
      </c>
      <c r="AD60" s="83">
        <v>860010.25</v>
      </c>
      <c r="AE60" s="83">
        <v>16661024.770000014</v>
      </c>
      <c r="AF60" s="83">
        <v>1779249.7799999991</v>
      </c>
      <c r="AG60" s="83">
        <v>12877409.419999998</v>
      </c>
      <c r="AH60" s="108"/>
      <c r="AI60" s="83">
        <v>19872552.06000001</v>
      </c>
      <c r="AJ60" s="83">
        <v>4506660.549999998</v>
      </c>
      <c r="AK60" s="83">
        <v>941216.76</v>
      </c>
      <c r="AL60" s="83">
        <v>18640022.599999998</v>
      </c>
      <c r="AM60" s="83">
        <v>1686903.6000000006</v>
      </c>
      <c r="AN60" s="83">
        <v>14642790.700000003</v>
      </c>
      <c r="AO60" s="108"/>
      <c r="AP60" s="83">
        <v>21071438.360000003</v>
      </c>
      <c r="AQ60" s="83">
        <v>3907974.4299999983</v>
      </c>
      <c r="AR60" s="83">
        <v>924135.67999999993</v>
      </c>
      <c r="AS60" s="83">
        <v>19949322.569999982</v>
      </c>
      <c r="AT60" s="83">
        <v>1616814.2400000021</v>
      </c>
      <c r="AU60" s="83">
        <v>13271622.890000001</v>
      </c>
      <c r="AV60" s="108"/>
      <c r="AW60" s="83">
        <v>16380558.469999988</v>
      </c>
      <c r="AX60" s="83">
        <v>3526409.0000000023</v>
      </c>
      <c r="AY60" s="83">
        <v>843161.20000000019</v>
      </c>
      <c r="AZ60" s="83">
        <v>15958189.479999984</v>
      </c>
      <c r="BA60" s="83">
        <v>1251558.2799999996</v>
      </c>
      <c r="BB60" s="83">
        <v>9725547.8399999999</v>
      </c>
      <c r="BC60" s="108"/>
    </row>
    <row r="61" spans="1:55">
      <c r="A61" s="80" t="s">
        <v>5</v>
      </c>
      <c r="B61" s="102">
        <v>311</v>
      </c>
      <c r="C61" s="103" t="s">
        <v>114</v>
      </c>
      <c r="D61" s="83">
        <v>4338560.6500000004</v>
      </c>
      <c r="E61" s="83">
        <v>1355617.21</v>
      </c>
      <c r="F61" s="104">
        <f t="shared" si="9"/>
        <v>5694177.8600000003</v>
      </c>
      <c r="G61" s="104">
        <v>5694177.8600000003</v>
      </c>
      <c r="H61" s="105">
        <f t="shared" si="69"/>
        <v>0</v>
      </c>
      <c r="I61" s="83">
        <v>33270.11</v>
      </c>
      <c r="J61" s="83">
        <v>721810.07999999984</v>
      </c>
      <c r="K61" s="106">
        <f t="shared" si="11"/>
        <v>755080.18999999983</v>
      </c>
      <c r="L61" s="107">
        <v>755080.19</v>
      </c>
      <c r="M61" s="106">
        <f t="shared" si="12"/>
        <v>0</v>
      </c>
      <c r="N61" s="83">
        <v>3582.5400000000004</v>
      </c>
      <c r="O61" s="107">
        <v>3582.54</v>
      </c>
      <c r="P61" s="106">
        <f t="shared" si="13"/>
        <v>0</v>
      </c>
      <c r="Q61" s="83">
        <v>3262297.7800000003</v>
      </c>
      <c r="R61" s="106">
        <v>74336.5</v>
      </c>
      <c r="S61" s="106">
        <v>2989589.97</v>
      </c>
      <c r="T61" s="106">
        <v>198371.31</v>
      </c>
      <c r="U61" s="106">
        <f t="shared" si="70"/>
        <v>0</v>
      </c>
      <c r="V61" s="83"/>
      <c r="W61" s="106">
        <v>0</v>
      </c>
      <c r="X61" s="106">
        <v>0</v>
      </c>
      <c r="Y61" s="106">
        <v>0</v>
      </c>
      <c r="Z61" s="106">
        <v>0</v>
      </c>
      <c r="AA61" s="106">
        <f t="shared" si="14"/>
        <v>0</v>
      </c>
      <c r="AB61" s="83">
        <v>2944360.6100000003</v>
      </c>
      <c r="AC61" s="83">
        <v>1193838.8699999996</v>
      </c>
      <c r="AD61" s="83">
        <v>35346.92</v>
      </c>
      <c r="AE61" s="83">
        <v>425670.95000000013</v>
      </c>
      <c r="AF61" s="83">
        <v>4149.7</v>
      </c>
      <c r="AG61" s="83">
        <v>4118151.4400000009</v>
      </c>
      <c r="AH61" s="108"/>
      <c r="AI61" s="83">
        <v>3466149.6599999964</v>
      </c>
      <c r="AJ61" s="83">
        <v>1954529.83</v>
      </c>
      <c r="AK61" s="83">
        <v>42525.5</v>
      </c>
      <c r="AL61" s="83">
        <v>655835.22</v>
      </c>
      <c r="AM61" s="83">
        <v>23203.000000000004</v>
      </c>
      <c r="AN61" s="83">
        <v>4792217.72</v>
      </c>
      <c r="AO61" s="108"/>
      <c r="AP61" s="83">
        <v>4725331.4400000013</v>
      </c>
      <c r="AQ61" s="83">
        <v>5289504.3499999978</v>
      </c>
      <c r="AR61" s="83">
        <v>50607.5</v>
      </c>
      <c r="AS61" s="83">
        <v>865969.94000000018</v>
      </c>
      <c r="AT61" s="83">
        <v>15073.19</v>
      </c>
      <c r="AU61" s="83">
        <v>4474517.3599999994</v>
      </c>
      <c r="AV61" s="108"/>
      <c r="AW61" s="83">
        <v>3018923.8800000004</v>
      </c>
      <c r="AX61" s="83">
        <v>4453842.7900000019</v>
      </c>
      <c r="AY61" s="83">
        <v>37737</v>
      </c>
      <c r="AZ61" s="83">
        <v>761421.26000000013</v>
      </c>
      <c r="BA61" s="83">
        <v>10477.36</v>
      </c>
      <c r="BB61" s="83">
        <v>3124891.72</v>
      </c>
      <c r="BC61" s="108"/>
    </row>
    <row r="62" spans="1:55">
      <c r="A62" s="80" t="s">
        <v>5</v>
      </c>
      <c r="B62" s="102">
        <v>312</v>
      </c>
      <c r="C62" s="103" t="s">
        <v>115</v>
      </c>
      <c r="D62" s="83">
        <v>919178.90999999992</v>
      </c>
      <c r="E62" s="83">
        <v>1669836.3099999987</v>
      </c>
      <c r="F62" s="104">
        <f t="shared" si="9"/>
        <v>2589015.2199999988</v>
      </c>
      <c r="G62" s="104">
        <v>2589015.2200000002</v>
      </c>
      <c r="H62" s="105">
        <f t="shared" si="69"/>
        <v>0</v>
      </c>
      <c r="I62" s="83">
        <v>116877.62000000002</v>
      </c>
      <c r="J62" s="83">
        <v>241621.28000000003</v>
      </c>
      <c r="K62" s="106">
        <f t="shared" si="11"/>
        <v>358498.9</v>
      </c>
      <c r="L62" s="107">
        <v>358498.9</v>
      </c>
      <c r="M62" s="106">
        <f t="shared" si="12"/>
        <v>0</v>
      </c>
      <c r="N62" s="83">
        <v>162712.72999999998</v>
      </c>
      <c r="O62" s="107">
        <v>162712.73000000001</v>
      </c>
      <c r="P62" s="106">
        <f t="shared" si="13"/>
        <v>0</v>
      </c>
      <c r="Q62" s="83">
        <v>32451357.720000003</v>
      </c>
      <c r="R62" s="106">
        <v>228959.78</v>
      </c>
      <c r="S62" s="106">
        <v>3656476.69</v>
      </c>
      <c r="T62" s="106">
        <v>28652881.27</v>
      </c>
      <c r="U62" s="106">
        <f t="shared" si="70"/>
        <v>-86960.019999999553</v>
      </c>
      <c r="V62" s="83"/>
      <c r="W62" s="106">
        <v>0</v>
      </c>
      <c r="X62" s="106">
        <v>0</v>
      </c>
      <c r="Y62" s="106">
        <v>0</v>
      </c>
      <c r="Z62" s="106">
        <v>0</v>
      </c>
      <c r="AA62" s="106">
        <f t="shared" si="14"/>
        <v>0</v>
      </c>
      <c r="AB62" s="83">
        <v>1761336.0999999999</v>
      </c>
      <c r="AC62" s="83">
        <v>5052287.3600000013</v>
      </c>
      <c r="AD62" s="83">
        <v>506802.24000000005</v>
      </c>
      <c r="AE62" s="83">
        <v>476202.5400000001</v>
      </c>
      <c r="AF62" s="83">
        <v>1744739.7800000005</v>
      </c>
      <c r="AG62" s="83">
        <v>27301167.839999996</v>
      </c>
      <c r="AH62" s="108"/>
      <c r="AI62" s="83">
        <v>1318277.19</v>
      </c>
      <c r="AJ62" s="83">
        <v>314421.93000000017</v>
      </c>
      <c r="AK62" s="83">
        <v>20533.63</v>
      </c>
      <c r="AL62" s="83">
        <v>246288.72999999998</v>
      </c>
      <c r="AM62" s="83">
        <v>114757.21</v>
      </c>
      <c r="AN62" s="83">
        <v>2224406.5900000008</v>
      </c>
      <c r="AO62" s="108"/>
      <c r="AP62" s="83">
        <v>1820208.73</v>
      </c>
      <c r="AQ62" s="83">
        <v>40500.600000000006</v>
      </c>
      <c r="AR62" s="83">
        <v>2450</v>
      </c>
      <c r="AS62" s="83">
        <v>149120.48000000001</v>
      </c>
      <c r="AT62" s="83">
        <v>111175.37000000013</v>
      </c>
      <c r="AU62" s="83">
        <v>1719040.2</v>
      </c>
      <c r="AV62" s="108"/>
      <c r="AW62" s="83">
        <v>1399393.9999999993</v>
      </c>
      <c r="AX62" s="83">
        <v>29298.94</v>
      </c>
      <c r="AY62" s="83">
        <v>35263.660000000003</v>
      </c>
      <c r="AZ62" s="83">
        <v>226503.21</v>
      </c>
      <c r="BA62" s="83">
        <v>304887.70999999985</v>
      </c>
      <c r="BB62" s="83">
        <v>1539995.0699999998</v>
      </c>
      <c r="BC62" s="108"/>
    </row>
    <row r="63" spans="1:55">
      <c r="A63" s="80" t="s">
        <v>5</v>
      </c>
      <c r="B63" s="102">
        <v>313</v>
      </c>
      <c r="C63" s="103" t="s">
        <v>116</v>
      </c>
      <c r="D63" s="83">
        <v>0</v>
      </c>
      <c r="E63" s="83">
        <v>0</v>
      </c>
      <c r="F63" s="104">
        <f t="shared" si="9"/>
        <v>0</v>
      </c>
      <c r="G63" s="104">
        <v>0</v>
      </c>
      <c r="H63" s="105">
        <f t="shared" si="69"/>
        <v>0</v>
      </c>
      <c r="I63" s="83">
        <v>0</v>
      </c>
      <c r="J63" s="83">
        <v>0</v>
      </c>
      <c r="K63" s="106">
        <f t="shared" si="11"/>
        <v>0</v>
      </c>
      <c r="L63" s="107">
        <v>0</v>
      </c>
      <c r="M63" s="106">
        <f t="shared" si="12"/>
        <v>0</v>
      </c>
      <c r="N63" s="83">
        <v>0</v>
      </c>
      <c r="O63" s="107">
        <v>0</v>
      </c>
      <c r="P63" s="106">
        <f t="shared" si="13"/>
        <v>0</v>
      </c>
      <c r="Q63" s="83">
        <v>2554621.9500000002</v>
      </c>
      <c r="R63" s="106">
        <v>0</v>
      </c>
      <c r="S63" s="106">
        <v>2554621.9500000002</v>
      </c>
      <c r="T63" s="106">
        <v>0</v>
      </c>
      <c r="U63" s="106">
        <f t="shared" si="70"/>
        <v>0</v>
      </c>
      <c r="V63" s="83"/>
      <c r="W63" s="106">
        <v>0</v>
      </c>
      <c r="X63" s="106">
        <v>0</v>
      </c>
      <c r="Y63" s="106">
        <v>0</v>
      </c>
      <c r="Z63" s="106">
        <v>0</v>
      </c>
      <c r="AA63" s="106">
        <f t="shared" si="14"/>
        <v>0</v>
      </c>
      <c r="AB63" s="83">
        <v>0</v>
      </c>
      <c r="AC63" s="83">
        <v>0</v>
      </c>
      <c r="AD63" s="83">
        <v>0</v>
      </c>
      <c r="AE63" s="83">
        <v>0</v>
      </c>
      <c r="AF63" s="83">
        <v>0</v>
      </c>
      <c r="AG63" s="83">
        <v>1806978.33</v>
      </c>
      <c r="AH63" s="108"/>
      <c r="AI63" s="83">
        <v>0</v>
      </c>
      <c r="AJ63" s="83">
        <v>0</v>
      </c>
      <c r="AK63" s="83">
        <v>0</v>
      </c>
      <c r="AL63" s="83">
        <v>0</v>
      </c>
      <c r="AM63" s="83">
        <v>0</v>
      </c>
      <c r="AN63" s="83">
        <v>1523404.92</v>
      </c>
      <c r="AO63" s="108"/>
      <c r="AP63" s="83">
        <v>0</v>
      </c>
      <c r="AQ63" s="83">
        <v>0</v>
      </c>
      <c r="AR63" s="83">
        <v>0</v>
      </c>
      <c r="AS63" s="83">
        <v>0</v>
      </c>
      <c r="AT63" s="83">
        <v>0</v>
      </c>
      <c r="AU63" s="83">
        <v>1603269.14</v>
      </c>
      <c r="AV63" s="108"/>
      <c r="AW63" s="83">
        <v>0</v>
      </c>
      <c r="AX63" s="83">
        <v>0</v>
      </c>
      <c r="AY63" s="83">
        <v>0</v>
      </c>
      <c r="AZ63" s="83">
        <v>0</v>
      </c>
      <c r="BA63" s="83">
        <v>0</v>
      </c>
      <c r="BB63" s="83">
        <v>1530991.45</v>
      </c>
      <c r="BC63" s="108"/>
    </row>
    <row r="64" spans="1:55">
      <c r="A64" s="80" t="s">
        <v>5</v>
      </c>
      <c r="B64" s="102">
        <v>314</v>
      </c>
      <c r="C64" s="103" t="s">
        <v>117</v>
      </c>
      <c r="D64" s="83">
        <v>667.04</v>
      </c>
      <c r="E64" s="83">
        <v>0</v>
      </c>
      <c r="F64" s="104">
        <f t="shared" si="9"/>
        <v>667.04</v>
      </c>
      <c r="G64" s="104">
        <v>667.04</v>
      </c>
      <c r="H64" s="105">
        <f t="shared" si="69"/>
        <v>0</v>
      </c>
      <c r="I64" s="83">
        <v>556.14</v>
      </c>
      <c r="J64" s="83">
        <v>12909.15</v>
      </c>
      <c r="K64" s="106">
        <f t="shared" si="11"/>
        <v>13465.289999999999</v>
      </c>
      <c r="L64" s="107">
        <v>13465.29</v>
      </c>
      <c r="M64" s="106">
        <f t="shared" si="12"/>
        <v>0</v>
      </c>
      <c r="N64" s="83">
        <v>0</v>
      </c>
      <c r="O64" s="107">
        <v>0</v>
      </c>
      <c r="P64" s="106">
        <f t="shared" si="13"/>
        <v>0</v>
      </c>
      <c r="Q64" s="83">
        <v>444985.25</v>
      </c>
      <c r="R64" s="106">
        <v>404005.13</v>
      </c>
      <c r="S64" s="106">
        <v>2315.8000000000002</v>
      </c>
      <c r="T64" s="106">
        <v>38664.32</v>
      </c>
      <c r="U64" s="106">
        <f t="shared" si="70"/>
        <v>0</v>
      </c>
      <c r="V64" s="83"/>
      <c r="W64" s="106">
        <v>0</v>
      </c>
      <c r="X64" s="106">
        <v>0</v>
      </c>
      <c r="Y64" s="106">
        <v>0</v>
      </c>
      <c r="Z64" s="106">
        <v>0</v>
      </c>
      <c r="AA64" s="106">
        <f t="shared" si="14"/>
        <v>0</v>
      </c>
      <c r="AB64" s="83">
        <v>0</v>
      </c>
      <c r="AC64" s="83">
        <v>0</v>
      </c>
      <c r="AD64" s="83">
        <v>0</v>
      </c>
      <c r="AE64" s="83">
        <v>0</v>
      </c>
      <c r="AF64" s="83">
        <v>214</v>
      </c>
      <c r="AG64" s="83">
        <v>542661.93000000005</v>
      </c>
      <c r="AH64" s="108"/>
      <c r="AI64" s="83">
        <v>0</v>
      </c>
      <c r="AJ64" s="83">
        <v>390.62</v>
      </c>
      <c r="AK64" s="83">
        <v>0</v>
      </c>
      <c r="AL64" s="83">
        <v>0</v>
      </c>
      <c r="AM64" s="83">
        <v>132.01</v>
      </c>
      <c r="AN64" s="83">
        <v>260624.85000000003</v>
      </c>
      <c r="AO64" s="108"/>
      <c r="AP64" s="83">
        <v>0</v>
      </c>
      <c r="AQ64" s="83">
        <v>0</v>
      </c>
      <c r="AR64" s="83">
        <v>0</v>
      </c>
      <c r="AS64" s="83">
        <v>0</v>
      </c>
      <c r="AT64" s="83">
        <v>726</v>
      </c>
      <c r="AU64" s="83">
        <v>58679.96</v>
      </c>
      <c r="AV64" s="108"/>
      <c r="AW64" s="83">
        <v>0</v>
      </c>
      <c r="AX64" s="83">
        <v>0</v>
      </c>
      <c r="AY64" s="83">
        <v>0</v>
      </c>
      <c r="AZ64" s="83">
        <v>0</v>
      </c>
      <c r="BA64" s="83">
        <v>3100.38</v>
      </c>
      <c r="BB64" s="83">
        <v>33402</v>
      </c>
      <c r="BC64" s="108"/>
    </row>
    <row r="65" spans="1:55">
      <c r="A65" s="80" t="s">
        <v>5</v>
      </c>
      <c r="B65" s="102">
        <v>315</v>
      </c>
      <c r="C65" s="103" t="s">
        <v>118</v>
      </c>
      <c r="D65" s="83">
        <v>0</v>
      </c>
      <c r="E65" s="83">
        <v>0</v>
      </c>
      <c r="F65" s="104">
        <f t="shared" si="9"/>
        <v>0</v>
      </c>
      <c r="G65" s="104">
        <v>0</v>
      </c>
      <c r="H65" s="105">
        <f t="shared" si="69"/>
        <v>0</v>
      </c>
      <c r="I65" s="83">
        <v>0</v>
      </c>
      <c r="J65" s="83">
        <v>0</v>
      </c>
      <c r="K65" s="106">
        <f t="shared" si="11"/>
        <v>0</v>
      </c>
      <c r="L65" s="107">
        <v>0</v>
      </c>
      <c r="M65" s="106">
        <f t="shared" si="12"/>
        <v>0</v>
      </c>
      <c r="N65" s="83">
        <v>37808963.949999973</v>
      </c>
      <c r="O65" s="107">
        <v>37808963.950000003</v>
      </c>
      <c r="P65" s="106">
        <f t="shared" si="13"/>
        <v>0</v>
      </c>
      <c r="Q65" s="83">
        <v>760578.6399999999</v>
      </c>
      <c r="R65" s="106">
        <v>48205.61</v>
      </c>
      <c r="S65" s="106">
        <v>473009.91999999998</v>
      </c>
      <c r="T65" s="106">
        <v>239363.11</v>
      </c>
      <c r="U65" s="106">
        <f t="shared" si="70"/>
        <v>0</v>
      </c>
      <c r="V65" s="83"/>
      <c r="W65" s="106">
        <v>0</v>
      </c>
      <c r="X65" s="106">
        <v>0</v>
      </c>
      <c r="Y65" s="106">
        <v>0</v>
      </c>
      <c r="Z65" s="106">
        <v>0</v>
      </c>
      <c r="AA65" s="106">
        <f t="shared" si="14"/>
        <v>0</v>
      </c>
      <c r="AB65" s="83">
        <v>0</v>
      </c>
      <c r="AC65" s="83">
        <v>0</v>
      </c>
      <c r="AD65" s="83">
        <v>0</v>
      </c>
      <c r="AE65" s="83">
        <v>0</v>
      </c>
      <c r="AF65" s="83">
        <v>40771813.609999955</v>
      </c>
      <c r="AG65" s="83">
        <v>828184.48999999987</v>
      </c>
      <c r="AH65" s="108"/>
      <c r="AI65" s="83">
        <v>0</v>
      </c>
      <c r="AJ65" s="83">
        <v>0</v>
      </c>
      <c r="AK65" s="83">
        <v>0</v>
      </c>
      <c r="AL65" s="83">
        <v>0</v>
      </c>
      <c r="AM65" s="83">
        <v>43140673.839999996</v>
      </c>
      <c r="AN65" s="83">
        <v>536183.03</v>
      </c>
      <c r="AO65" s="108"/>
      <c r="AP65" s="83">
        <v>0</v>
      </c>
      <c r="AQ65" s="83">
        <v>0</v>
      </c>
      <c r="AR65" s="83">
        <v>0</v>
      </c>
      <c r="AS65" s="83">
        <v>0</v>
      </c>
      <c r="AT65" s="83">
        <v>29041619.419999987</v>
      </c>
      <c r="AU65" s="83">
        <v>289313.56</v>
      </c>
      <c r="AV65" s="108"/>
      <c r="AW65" s="83">
        <v>0</v>
      </c>
      <c r="AX65" s="83">
        <v>0</v>
      </c>
      <c r="AY65" s="83">
        <v>0</v>
      </c>
      <c r="AZ65" s="83">
        <v>0</v>
      </c>
      <c r="BA65" s="83">
        <v>19839911.989999976</v>
      </c>
      <c r="BB65" s="83">
        <v>0</v>
      </c>
      <c r="BC65" s="108"/>
    </row>
    <row r="66" spans="1:55">
      <c r="A66" s="80" t="s">
        <v>5</v>
      </c>
      <c r="B66" s="102">
        <v>316</v>
      </c>
      <c r="C66" s="103" t="s">
        <v>119</v>
      </c>
      <c r="D66" s="83">
        <v>32228.65</v>
      </c>
      <c r="E66" s="83">
        <v>380</v>
      </c>
      <c r="F66" s="104">
        <f t="shared" si="9"/>
        <v>32608.65</v>
      </c>
      <c r="G66" s="104">
        <v>32608.65</v>
      </c>
      <c r="H66" s="105">
        <f t="shared" si="69"/>
        <v>0</v>
      </c>
      <c r="I66" s="83">
        <v>199.5</v>
      </c>
      <c r="J66" s="83">
        <v>121981.47000000002</v>
      </c>
      <c r="K66" s="106">
        <f t="shared" si="11"/>
        <v>122180.97000000002</v>
      </c>
      <c r="L66" s="107">
        <v>122180.97</v>
      </c>
      <c r="M66" s="106">
        <f t="shared" si="12"/>
        <v>0</v>
      </c>
      <c r="N66" s="83">
        <v>10936.44</v>
      </c>
      <c r="O66" s="107">
        <v>10936.44</v>
      </c>
      <c r="P66" s="106">
        <f t="shared" si="13"/>
        <v>0</v>
      </c>
      <c r="Q66" s="83">
        <v>160031.85999999999</v>
      </c>
      <c r="R66" s="106">
        <v>16610.48</v>
      </c>
      <c r="S66" s="106">
        <v>143421.38</v>
      </c>
      <c r="T66" s="106">
        <v>0</v>
      </c>
      <c r="U66" s="106">
        <f t="shared" si="70"/>
        <v>-2.9103830456733704E-11</v>
      </c>
      <c r="V66" s="83"/>
      <c r="W66" s="106">
        <v>0</v>
      </c>
      <c r="X66" s="106">
        <v>0</v>
      </c>
      <c r="Y66" s="106">
        <v>0</v>
      </c>
      <c r="Z66" s="106">
        <v>0</v>
      </c>
      <c r="AA66" s="106">
        <f t="shared" si="14"/>
        <v>0</v>
      </c>
      <c r="AB66" s="83">
        <v>23674.489999999998</v>
      </c>
      <c r="AC66" s="83">
        <v>11470.09</v>
      </c>
      <c r="AD66" s="83">
        <v>0</v>
      </c>
      <c r="AE66" s="83">
        <v>149718</v>
      </c>
      <c r="AF66" s="83">
        <v>9820.9299999999985</v>
      </c>
      <c r="AG66" s="83">
        <v>639364.46000000008</v>
      </c>
      <c r="AH66" s="108"/>
      <c r="AI66" s="83">
        <v>106232.09000000001</v>
      </c>
      <c r="AJ66" s="83">
        <v>221</v>
      </c>
      <c r="AK66" s="83">
        <v>0</v>
      </c>
      <c r="AL66" s="83">
        <v>267249.10000000003</v>
      </c>
      <c r="AM66" s="83">
        <v>16134.699999999999</v>
      </c>
      <c r="AN66" s="83">
        <v>925488.55</v>
      </c>
      <c r="AO66" s="108"/>
      <c r="AP66" s="83">
        <v>87017.31</v>
      </c>
      <c r="AQ66" s="83">
        <v>0</v>
      </c>
      <c r="AR66" s="83">
        <v>160</v>
      </c>
      <c r="AS66" s="83">
        <v>222668.62999999998</v>
      </c>
      <c r="AT66" s="83">
        <v>4071.57</v>
      </c>
      <c r="AU66" s="83">
        <v>1253091.48</v>
      </c>
      <c r="AV66" s="108"/>
      <c r="AW66" s="83">
        <v>49466.850000000006</v>
      </c>
      <c r="AX66" s="83">
        <v>0</v>
      </c>
      <c r="AY66" s="83">
        <v>0</v>
      </c>
      <c r="AZ66" s="83">
        <v>103885.78</v>
      </c>
      <c r="BA66" s="83">
        <v>1961.62</v>
      </c>
      <c r="BB66" s="83">
        <v>345484.13999999996</v>
      </c>
      <c r="BC66" s="108"/>
    </row>
    <row r="67" spans="1:55">
      <c r="A67" s="80" t="s">
        <v>5</v>
      </c>
      <c r="B67" s="102">
        <v>317</v>
      </c>
      <c r="C67" s="103" t="s">
        <v>120</v>
      </c>
      <c r="D67" s="83">
        <v>11950.03</v>
      </c>
      <c r="E67" s="83">
        <v>19024.520000000004</v>
      </c>
      <c r="F67" s="104">
        <f t="shared" si="9"/>
        <v>30974.550000000003</v>
      </c>
      <c r="G67" s="104">
        <v>30974.55</v>
      </c>
      <c r="H67" s="105">
        <f t="shared" si="69"/>
        <v>0</v>
      </c>
      <c r="I67" s="83">
        <v>10.5</v>
      </c>
      <c r="J67" s="83">
        <v>7257.9100000000008</v>
      </c>
      <c r="K67" s="106">
        <f t="shared" si="11"/>
        <v>7268.4100000000008</v>
      </c>
      <c r="L67" s="107">
        <v>7268.41</v>
      </c>
      <c r="M67" s="106">
        <f t="shared" si="12"/>
        <v>0</v>
      </c>
      <c r="N67" s="83">
        <v>29702.48</v>
      </c>
      <c r="O67" s="107">
        <v>29702.48</v>
      </c>
      <c r="P67" s="106">
        <f t="shared" si="13"/>
        <v>0</v>
      </c>
      <c r="Q67" s="83">
        <v>2175564.79</v>
      </c>
      <c r="R67" s="106">
        <v>31634.639999999999</v>
      </c>
      <c r="S67" s="106">
        <v>1905343.57</v>
      </c>
      <c r="T67" s="106">
        <v>238586.58</v>
      </c>
      <c r="U67" s="106">
        <f t="shared" si="70"/>
        <v>0</v>
      </c>
      <c r="V67" s="83"/>
      <c r="W67" s="106">
        <v>0</v>
      </c>
      <c r="X67" s="106">
        <v>0</v>
      </c>
      <c r="Y67" s="106">
        <v>0</v>
      </c>
      <c r="Z67" s="106">
        <v>0</v>
      </c>
      <c r="AA67" s="106">
        <f t="shared" si="14"/>
        <v>0</v>
      </c>
      <c r="AB67" s="83">
        <v>32284.639999999996</v>
      </c>
      <c r="AC67" s="83">
        <v>24969.309999999987</v>
      </c>
      <c r="AD67" s="83">
        <v>3590.75</v>
      </c>
      <c r="AE67" s="83">
        <v>19069.330000000002</v>
      </c>
      <c r="AF67" s="83">
        <v>49001.81</v>
      </c>
      <c r="AG67" s="83">
        <v>2090582.94</v>
      </c>
      <c r="AH67" s="108"/>
      <c r="AI67" s="83">
        <v>17684.510000000002</v>
      </c>
      <c r="AJ67" s="83">
        <v>26366.110000000004</v>
      </c>
      <c r="AK67" s="83">
        <v>509.75</v>
      </c>
      <c r="AL67" s="83">
        <v>8574.7000000000007</v>
      </c>
      <c r="AM67" s="83">
        <v>44974.93</v>
      </c>
      <c r="AN67" s="83">
        <v>1897846.98</v>
      </c>
      <c r="AO67" s="108"/>
      <c r="AP67" s="83">
        <v>49597.729999999996</v>
      </c>
      <c r="AQ67" s="83">
        <v>50530.909999999982</v>
      </c>
      <c r="AR67" s="83">
        <v>386.74</v>
      </c>
      <c r="AS67" s="83">
        <v>5863.3</v>
      </c>
      <c r="AT67" s="83">
        <v>38598.11</v>
      </c>
      <c r="AU67" s="83">
        <v>1012175.2800000001</v>
      </c>
      <c r="AV67" s="108"/>
      <c r="AW67" s="83">
        <v>16627.25</v>
      </c>
      <c r="AX67" s="83">
        <v>7085.2300000000005</v>
      </c>
      <c r="AY67" s="83">
        <v>2832.81</v>
      </c>
      <c r="AZ67" s="83">
        <v>4366.08</v>
      </c>
      <c r="BA67" s="83">
        <v>37955.800000000003</v>
      </c>
      <c r="BB67" s="83">
        <v>794958.03000000026</v>
      </c>
      <c r="BC67" s="108"/>
    </row>
    <row r="68" spans="1:55">
      <c r="A68" s="80" t="s">
        <v>5</v>
      </c>
      <c r="B68" s="102">
        <v>318</v>
      </c>
      <c r="C68" s="103" t="s">
        <v>121</v>
      </c>
      <c r="D68" s="83">
        <v>441022.42</v>
      </c>
      <c r="E68" s="83">
        <v>447154.98</v>
      </c>
      <c r="F68" s="104">
        <f t="shared" si="9"/>
        <v>888177.39999999991</v>
      </c>
      <c r="G68" s="104">
        <v>888177.4</v>
      </c>
      <c r="H68" s="105">
        <f t="shared" si="69"/>
        <v>0</v>
      </c>
      <c r="I68" s="83">
        <v>3233.91</v>
      </c>
      <c r="J68" s="83">
        <v>18435.57</v>
      </c>
      <c r="K68" s="106">
        <f t="shared" si="11"/>
        <v>21669.48</v>
      </c>
      <c r="L68" s="107">
        <v>21669.48</v>
      </c>
      <c r="M68" s="106">
        <f t="shared" si="12"/>
        <v>0</v>
      </c>
      <c r="N68" s="83">
        <v>698917.5400000005</v>
      </c>
      <c r="O68" s="107">
        <v>698917.54</v>
      </c>
      <c r="P68" s="106">
        <f t="shared" si="13"/>
        <v>0</v>
      </c>
      <c r="Q68" s="83">
        <v>3196746.95</v>
      </c>
      <c r="R68" s="106">
        <v>690403.59</v>
      </c>
      <c r="S68" s="106">
        <v>1092057.6499999999</v>
      </c>
      <c r="T68" s="106">
        <v>1425606.31</v>
      </c>
      <c r="U68" s="106">
        <f t="shared" si="70"/>
        <v>-11320.599999999627</v>
      </c>
      <c r="V68" s="83"/>
      <c r="W68" s="106">
        <v>0</v>
      </c>
      <c r="X68" s="106">
        <v>0</v>
      </c>
      <c r="Y68" s="106">
        <v>0</v>
      </c>
      <c r="Z68" s="106">
        <v>0</v>
      </c>
      <c r="AA68" s="106">
        <f t="shared" si="14"/>
        <v>0</v>
      </c>
      <c r="AB68" s="83">
        <v>410642.8</v>
      </c>
      <c r="AC68" s="83">
        <v>746591.99000000022</v>
      </c>
      <c r="AD68" s="83">
        <v>4504.97</v>
      </c>
      <c r="AE68" s="83">
        <v>22057.24</v>
      </c>
      <c r="AF68" s="83">
        <v>164160.86000000004</v>
      </c>
      <c r="AG68" s="83">
        <v>5239196.3100000005</v>
      </c>
      <c r="AH68" s="108"/>
      <c r="AI68" s="83">
        <v>335412.38000000006</v>
      </c>
      <c r="AJ68" s="83">
        <v>582860.20999999985</v>
      </c>
      <c r="AK68" s="83">
        <v>10748.529999999999</v>
      </c>
      <c r="AL68" s="83">
        <v>20840.489999999998</v>
      </c>
      <c r="AM68" s="83">
        <v>169112.12</v>
      </c>
      <c r="AN68" s="83">
        <v>5243348.4600000009</v>
      </c>
      <c r="AO68" s="108"/>
      <c r="AP68" s="83">
        <v>482518.08999999997</v>
      </c>
      <c r="AQ68" s="83">
        <v>474285.47000000003</v>
      </c>
      <c r="AR68" s="83">
        <v>4633.92</v>
      </c>
      <c r="AS68" s="83">
        <v>17050.91</v>
      </c>
      <c r="AT68" s="83">
        <v>213724.24000000002</v>
      </c>
      <c r="AU68" s="83">
        <v>4688383.4800000004</v>
      </c>
      <c r="AV68" s="108"/>
      <c r="AW68" s="83">
        <v>339410.00000000006</v>
      </c>
      <c r="AX68" s="83">
        <v>364015.41000000003</v>
      </c>
      <c r="AY68" s="83">
        <v>3881.02</v>
      </c>
      <c r="AZ68" s="83">
        <v>8354.67</v>
      </c>
      <c r="BA68" s="83">
        <v>108763.79000000002</v>
      </c>
      <c r="BB68" s="83">
        <v>1419394.0099999998</v>
      </c>
      <c r="BC68" s="108"/>
    </row>
    <row r="69" spans="1:55">
      <c r="A69" s="80" t="s">
        <v>5</v>
      </c>
      <c r="B69" s="102">
        <v>319</v>
      </c>
      <c r="C69" s="103" t="s">
        <v>122</v>
      </c>
      <c r="D69" s="83">
        <v>291884.15999999997</v>
      </c>
      <c r="E69" s="83">
        <v>231324.71</v>
      </c>
      <c r="F69" s="104">
        <f t="shared" si="9"/>
        <v>523208.87</v>
      </c>
      <c r="G69" s="104">
        <v>523208.87</v>
      </c>
      <c r="H69" s="105">
        <f t="shared" si="69"/>
        <v>0</v>
      </c>
      <c r="I69" s="83">
        <v>84161.25</v>
      </c>
      <c r="J69" s="83">
        <v>22021.25</v>
      </c>
      <c r="K69" s="106">
        <f t="shared" si="11"/>
        <v>106182.5</v>
      </c>
      <c r="L69" s="107">
        <v>106182.5</v>
      </c>
      <c r="M69" s="106">
        <f t="shared" si="12"/>
        <v>0</v>
      </c>
      <c r="N69" s="83">
        <v>1352201.7600000002</v>
      </c>
      <c r="O69" s="107">
        <v>1352201.76</v>
      </c>
      <c r="P69" s="106">
        <f t="shared" si="13"/>
        <v>0</v>
      </c>
      <c r="Q69" s="83">
        <v>10075515.84</v>
      </c>
      <c r="R69" s="106">
        <v>970922.64</v>
      </c>
      <c r="S69" s="106">
        <v>4223940.29</v>
      </c>
      <c r="T69" s="106">
        <v>5042452.6500000004</v>
      </c>
      <c r="U69" s="106">
        <f t="shared" si="70"/>
        <v>-161799.74000000115</v>
      </c>
      <c r="V69" s="83"/>
      <c r="W69" s="106">
        <v>0</v>
      </c>
      <c r="X69" s="106">
        <v>0</v>
      </c>
      <c r="Y69" s="106">
        <v>0</v>
      </c>
      <c r="Z69" s="106">
        <v>0</v>
      </c>
      <c r="AA69" s="106">
        <f t="shared" si="14"/>
        <v>0</v>
      </c>
      <c r="AB69" s="83">
        <v>330986.18</v>
      </c>
      <c r="AC69" s="83">
        <v>355093.81</v>
      </c>
      <c r="AD69" s="83">
        <v>47417</v>
      </c>
      <c r="AE69" s="83">
        <v>22086.53</v>
      </c>
      <c r="AF69" s="83">
        <v>1486862.4700000004</v>
      </c>
      <c r="AG69" s="83">
        <v>10432271.66</v>
      </c>
      <c r="AH69" s="108"/>
      <c r="AI69" s="83">
        <v>0</v>
      </c>
      <c r="AJ69" s="83">
        <v>0</v>
      </c>
      <c r="AK69" s="83">
        <v>0</v>
      </c>
      <c r="AL69" s="83">
        <v>0</v>
      </c>
      <c r="AM69" s="83">
        <v>2844.74</v>
      </c>
      <c r="AN69" s="83">
        <v>226839.23</v>
      </c>
      <c r="AO69" s="108"/>
      <c r="AP69" s="83">
        <v>0</v>
      </c>
      <c r="AQ69" s="83">
        <v>0</v>
      </c>
      <c r="AR69" s="83">
        <v>0</v>
      </c>
      <c r="AS69" s="83">
        <v>0</v>
      </c>
      <c r="AT69" s="83">
        <v>13549.09</v>
      </c>
      <c r="AU69" s="83">
        <v>406244.14999999991</v>
      </c>
      <c r="AV69" s="108"/>
      <c r="AW69" s="83">
        <v>0</v>
      </c>
      <c r="AX69" s="83">
        <v>0</v>
      </c>
      <c r="AY69" s="83">
        <v>0</v>
      </c>
      <c r="AZ69" s="83">
        <v>0</v>
      </c>
      <c r="BA69" s="83">
        <v>11726.01</v>
      </c>
      <c r="BB69" s="83">
        <v>253947.25999999998</v>
      </c>
      <c r="BC69" s="108"/>
    </row>
    <row r="70" spans="1:55">
      <c r="A70" s="80" t="s">
        <v>5</v>
      </c>
      <c r="B70" s="102">
        <v>320</v>
      </c>
      <c r="C70" s="103" t="s">
        <v>123</v>
      </c>
      <c r="D70" s="83">
        <v>0</v>
      </c>
      <c r="E70" s="83">
        <v>0</v>
      </c>
      <c r="F70" s="104">
        <f t="shared" ref="F70:F133" si="71">SUM(D70:E70)</f>
        <v>0</v>
      </c>
      <c r="G70" s="104">
        <v>0</v>
      </c>
      <c r="H70" s="105">
        <f t="shared" si="69"/>
        <v>0</v>
      </c>
      <c r="I70" s="83">
        <v>0</v>
      </c>
      <c r="J70" s="83">
        <v>0</v>
      </c>
      <c r="K70" s="106">
        <f t="shared" ref="K70:K133" si="72">J70+I70</f>
        <v>0</v>
      </c>
      <c r="L70" s="107">
        <v>0</v>
      </c>
      <c r="M70" s="106">
        <f t="shared" ref="M70:M133" si="73">K70-L70</f>
        <v>0</v>
      </c>
      <c r="N70" s="83">
        <v>20</v>
      </c>
      <c r="O70" s="107">
        <v>20</v>
      </c>
      <c r="P70" s="106">
        <f t="shared" ref="P70:P133" si="74">N70-O70</f>
        <v>0</v>
      </c>
      <c r="Q70" s="83">
        <v>3728133.62</v>
      </c>
      <c r="R70" s="106">
        <v>7126.87</v>
      </c>
      <c r="S70" s="106">
        <v>446682.7</v>
      </c>
      <c r="T70" s="106">
        <v>3274324.05</v>
      </c>
      <c r="U70" s="106">
        <f t="shared" si="70"/>
        <v>0</v>
      </c>
      <c r="V70" s="83"/>
      <c r="W70" s="106">
        <v>0</v>
      </c>
      <c r="X70" s="106">
        <v>0</v>
      </c>
      <c r="Y70" s="106">
        <v>0</v>
      </c>
      <c r="Z70" s="106">
        <v>0</v>
      </c>
      <c r="AA70" s="106">
        <f t="shared" ref="AA70:AA133" si="75">V70-W70-X70-Y70-Z70</f>
        <v>0</v>
      </c>
      <c r="AB70" s="83">
        <v>0</v>
      </c>
      <c r="AC70" s="83">
        <v>0</v>
      </c>
      <c r="AD70" s="83">
        <v>0</v>
      </c>
      <c r="AE70" s="83">
        <v>0</v>
      </c>
      <c r="AF70" s="83">
        <v>0</v>
      </c>
      <c r="AG70" s="83">
        <v>500961.38</v>
      </c>
      <c r="AH70" s="108"/>
      <c r="AI70" s="83">
        <v>0</v>
      </c>
      <c r="AJ70" s="83">
        <v>0</v>
      </c>
      <c r="AK70" s="83">
        <v>0</v>
      </c>
      <c r="AL70" s="83">
        <v>0</v>
      </c>
      <c r="AM70" s="83">
        <v>0</v>
      </c>
      <c r="AN70" s="83">
        <v>259075.75</v>
      </c>
      <c r="AO70" s="108"/>
      <c r="AP70" s="83">
        <v>0</v>
      </c>
      <c r="AQ70" s="83">
        <v>0</v>
      </c>
      <c r="AR70" s="83">
        <v>0</v>
      </c>
      <c r="AS70" s="83">
        <v>0</v>
      </c>
      <c r="AT70" s="83">
        <v>156.88999999999999</v>
      </c>
      <c r="AU70" s="83">
        <v>144428.25</v>
      </c>
      <c r="AV70" s="108"/>
      <c r="AW70" s="83">
        <v>0</v>
      </c>
      <c r="AX70" s="83">
        <v>0</v>
      </c>
      <c r="AY70" s="83">
        <v>0</v>
      </c>
      <c r="AZ70" s="83">
        <v>0</v>
      </c>
      <c r="BA70" s="83">
        <v>43.64</v>
      </c>
      <c r="BB70" s="83">
        <v>180197.05</v>
      </c>
      <c r="BC70" s="108"/>
    </row>
    <row r="71" spans="1:55">
      <c r="A71" s="80" t="s">
        <v>5</v>
      </c>
      <c r="B71" s="102">
        <v>321</v>
      </c>
      <c r="C71" s="103" t="s">
        <v>124</v>
      </c>
      <c r="D71" s="83">
        <v>0</v>
      </c>
      <c r="E71" s="83">
        <v>0</v>
      </c>
      <c r="F71" s="104">
        <f t="shared" si="71"/>
        <v>0</v>
      </c>
      <c r="G71" s="104">
        <v>0</v>
      </c>
      <c r="H71" s="105">
        <f t="shared" si="69"/>
        <v>0</v>
      </c>
      <c r="I71" s="83">
        <v>0</v>
      </c>
      <c r="J71" s="83">
        <v>0</v>
      </c>
      <c r="K71" s="106">
        <f t="shared" si="72"/>
        <v>0</v>
      </c>
      <c r="L71" s="107">
        <v>0</v>
      </c>
      <c r="M71" s="106">
        <f t="shared" si="73"/>
        <v>0</v>
      </c>
      <c r="N71" s="83">
        <v>24120665.150000054</v>
      </c>
      <c r="O71" s="107">
        <v>24120665.149999999</v>
      </c>
      <c r="P71" s="106">
        <f t="shared" si="74"/>
        <v>5.5879354476928711E-8</v>
      </c>
      <c r="Q71" s="83">
        <v>400</v>
      </c>
      <c r="R71" s="106">
        <v>0</v>
      </c>
      <c r="S71" s="106">
        <v>0</v>
      </c>
      <c r="T71" s="106">
        <v>400</v>
      </c>
      <c r="U71" s="106">
        <f t="shared" si="70"/>
        <v>0</v>
      </c>
      <c r="V71" s="83"/>
      <c r="W71" s="106">
        <v>0</v>
      </c>
      <c r="X71" s="106">
        <v>0</v>
      </c>
      <c r="Y71" s="106">
        <v>0</v>
      </c>
      <c r="Z71" s="106">
        <v>0</v>
      </c>
      <c r="AA71" s="106">
        <f t="shared" si="75"/>
        <v>0</v>
      </c>
      <c r="AB71" s="83">
        <v>0</v>
      </c>
      <c r="AC71" s="83">
        <v>0</v>
      </c>
      <c r="AD71" s="83">
        <v>0</v>
      </c>
      <c r="AE71" s="83">
        <v>0</v>
      </c>
      <c r="AF71" s="83">
        <v>31796488.409999982</v>
      </c>
      <c r="AG71" s="83">
        <v>7335.74</v>
      </c>
      <c r="AH71" s="108"/>
      <c r="AI71" s="83">
        <v>0</v>
      </c>
      <c r="AJ71" s="83">
        <v>0</v>
      </c>
      <c r="AK71" s="83">
        <v>0</v>
      </c>
      <c r="AL71" s="83">
        <v>0</v>
      </c>
      <c r="AM71" s="83">
        <v>34895371.169999957</v>
      </c>
      <c r="AN71" s="83">
        <v>0</v>
      </c>
      <c r="AO71" s="108"/>
      <c r="AP71" s="83">
        <v>0</v>
      </c>
      <c r="AQ71" s="83">
        <v>0</v>
      </c>
      <c r="AR71" s="83">
        <v>0</v>
      </c>
      <c r="AS71" s="83">
        <v>0</v>
      </c>
      <c r="AT71" s="83">
        <v>34360825.850000113</v>
      </c>
      <c r="AU71" s="83">
        <v>0</v>
      </c>
      <c r="AV71" s="108"/>
      <c r="AW71" s="83">
        <v>0</v>
      </c>
      <c r="AX71" s="83">
        <v>0</v>
      </c>
      <c r="AY71" s="83">
        <v>0</v>
      </c>
      <c r="AZ71" s="83">
        <v>0</v>
      </c>
      <c r="BA71" s="83">
        <v>26161597.109999999</v>
      </c>
      <c r="BB71" s="83">
        <v>0</v>
      </c>
      <c r="BC71" s="108"/>
    </row>
    <row r="72" spans="1:55">
      <c r="A72" s="80" t="s">
        <v>5</v>
      </c>
      <c r="B72" s="102">
        <v>322</v>
      </c>
      <c r="C72" s="103" t="s">
        <v>125</v>
      </c>
      <c r="D72" s="83">
        <v>0</v>
      </c>
      <c r="E72" s="83">
        <v>0</v>
      </c>
      <c r="F72" s="104">
        <f t="shared" si="71"/>
        <v>0</v>
      </c>
      <c r="G72" s="104">
        <v>0</v>
      </c>
      <c r="H72" s="105">
        <f t="shared" si="69"/>
        <v>0</v>
      </c>
      <c r="I72" s="83">
        <v>0</v>
      </c>
      <c r="J72" s="83">
        <v>0</v>
      </c>
      <c r="K72" s="106">
        <f t="shared" si="72"/>
        <v>0</v>
      </c>
      <c r="L72" s="107">
        <v>0</v>
      </c>
      <c r="M72" s="106">
        <f t="shared" si="73"/>
        <v>0</v>
      </c>
      <c r="N72" s="83">
        <v>0</v>
      </c>
      <c r="O72" s="107">
        <v>0</v>
      </c>
      <c r="P72" s="106">
        <f t="shared" si="74"/>
        <v>0</v>
      </c>
      <c r="Q72" s="83">
        <v>7080737</v>
      </c>
      <c r="R72" s="106">
        <v>0</v>
      </c>
      <c r="S72" s="106">
        <v>0</v>
      </c>
      <c r="T72" s="106">
        <v>7080737</v>
      </c>
      <c r="U72" s="106">
        <f t="shared" si="70"/>
        <v>0</v>
      </c>
      <c r="V72" s="83"/>
      <c r="W72" s="106">
        <v>0</v>
      </c>
      <c r="X72" s="106">
        <v>0</v>
      </c>
      <c r="Y72" s="106">
        <v>0</v>
      </c>
      <c r="Z72" s="106">
        <v>0</v>
      </c>
      <c r="AA72" s="106">
        <f t="shared" si="75"/>
        <v>0</v>
      </c>
      <c r="AB72" s="83">
        <v>0</v>
      </c>
      <c r="AC72" s="83">
        <v>0</v>
      </c>
      <c r="AD72" s="83">
        <v>0</v>
      </c>
      <c r="AE72" s="83">
        <v>0</v>
      </c>
      <c r="AF72" s="83">
        <v>0</v>
      </c>
      <c r="AG72" s="83">
        <v>8217381.9700000007</v>
      </c>
      <c r="AH72" s="108"/>
      <c r="AI72" s="83">
        <v>0</v>
      </c>
      <c r="AJ72" s="83">
        <v>0</v>
      </c>
      <c r="AK72" s="83">
        <v>0</v>
      </c>
      <c r="AL72" s="83">
        <v>0</v>
      </c>
      <c r="AM72" s="83">
        <v>0</v>
      </c>
      <c r="AN72" s="83">
        <v>11336838.370000001</v>
      </c>
      <c r="AO72" s="108"/>
      <c r="AP72" s="83">
        <v>0</v>
      </c>
      <c r="AQ72" s="83">
        <v>0</v>
      </c>
      <c r="AR72" s="83">
        <v>0</v>
      </c>
      <c r="AS72" s="83">
        <v>0</v>
      </c>
      <c r="AT72" s="83">
        <v>0</v>
      </c>
      <c r="AU72" s="83">
        <v>11004628.02</v>
      </c>
      <c r="AV72" s="108"/>
      <c r="AW72" s="83">
        <v>0</v>
      </c>
      <c r="AX72" s="83">
        <v>0</v>
      </c>
      <c r="AY72" s="83">
        <v>0</v>
      </c>
      <c r="AZ72" s="83">
        <v>0</v>
      </c>
      <c r="BA72" s="83">
        <v>0</v>
      </c>
      <c r="BB72" s="83">
        <v>11312660.859999999</v>
      </c>
      <c r="BC72" s="108"/>
    </row>
    <row r="73" spans="1:55">
      <c r="A73" s="80" t="s">
        <v>5</v>
      </c>
      <c r="B73" s="102">
        <v>323</v>
      </c>
      <c r="C73" s="103" t="s">
        <v>126</v>
      </c>
      <c r="D73" s="83">
        <v>230295.54999999996</v>
      </c>
      <c r="E73" s="83">
        <v>625185.59000000008</v>
      </c>
      <c r="F73" s="104">
        <f t="shared" si="71"/>
        <v>855481.14</v>
      </c>
      <c r="G73" s="104">
        <v>855489.6</v>
      </c>
      <c r="H73" s="105">
        <f t="shared" si="69"/>
        <v>-8.4599999999627471</v>
      </c>
      <c r="I73" s="83">
        <v>560338.55999999994</v>
      </c>
      <c r="J73" s="83">
        <v>124110.26000000001</v>
      </c>
      <c r="K73" s="106">
        <f t="shared" si="72"/>
        <v>684448.82</v>
      </c>
      <c r="L73" s="107">
        <v>684448.82</v>
      </c>
      <c r="M73" s="106">
        <f t="shared" si="73"/>
        <v>0</v>
      </c>
      <c r="N73" s="83">
        <v>158201.20999999993</v>
      </c>
      <c r="O73" s="107">
        <v>158201.21</v>
      </c>
      <c r="P73" s="106">
        <f t="shared" si="74"/>
        <v>0</v>
      </c>
      <c r="Q73" s="83">
        <v>919917.21</v>
      </c>
      <c r="R73" s="106">
        <v>18850.240000000002</v>
      </c>
      <c r="S73" s="106">
        <v>144055.73000000001</v>
      </c>
      <c r="T73" s="106">
        <v>757693.92</v>
      </c>
      <c r="U73" s="106">
        <f t="shared" si="70"/>
        <v>-682.68000000005122</v>
      </c>
      <c r="V73" s="83"/>
      <c r="W73" s="106">
        <v>0</v>
      </c>
      <c r="X73" s="106">
        <v>0</v>
      </c>
      <c r="Y73" s="106">
        <v>0</v>
      </c>
      <c r="Z73" s="106">
        <v>0</v>
      </c>
      <c r="AA73" s="106">
        <f t="shared" si="75"/>
        <v>0</v>
      </c>
      <c r="AB73" s="83">
        <v>164790.84</v>
      </c>
      <c r="AC73" s="83">
        <v>465210.64999999991</v>
      </c>
      <c r="AD73" s="83">
        <v>516370.04000000004</v>
      </c>
      <c r="AE73" s="83">
        <v>141598.25999999998</v>
      </c>
      <c r="AF73" s="83">
        <v>113837.34</v>
      </c>
      <c r="AG73" s="83">
        <v>926248.95999999985</v>
      </c>
      <c r="AH73" s="108"/>
      <c r="AI73" s="83">
        <v>228514.67999999993</v>
      </c>
      <c r="AJ73" s="83">
        <v>381792.58999999979</v>
      </c>
      <c r="AK73" s="83">
        <v>507025.53</v>
      </c>
      <c r="AL73" s="83">
        <v>114325.58</v>
      </c>
      <c r="AM73" s="83">
        <v>116456.33000000006</v>
      </c>
      <c r="AN73" s="83">
        <v>948565.74999999965</v>
      </c>
      <c r="AO73" s="108"/>
      <c r="AP73" s="83">
        <v>89694.9</v>
      </c>
      <c r="AQ73" s="83">
        <v>273228.90999999997</v>
      </c>
      <c r="AR73" s="83">
        <v>612566.32000000018</v>
      </c>
      <c r="AS73" s="83">
        <v>112488.25999999998</v>
      </c>
      <c r="AT73" s="83">
        <v>40974.419999999991</v>
      </c>
      <c r="AU73" s="83">
        <v>889289.88</v>
      </c>
      <c r="AV73" s="108"/>
      <c r="AW73" s="83">
        <v>119192.81</v>
      </c>
      <c r="AX73" s="83">
        <v>154906.64000000001</v>
      </c>
      <c r="AY73" s="83">
        <v>563968.42999999993</v>
      </c>
      <c r="AZ73" s="83">
        <v>81732.249999999985</v>
      </c>
      <c r="BA73" s="83">
        <v>21568.379999999997</v>
      </c>
      <c r="BB73" s="83">
        <v>785168.43</v>
      </c>
      <c r="BC73" s="108"/>
    </row>
    <row r="74" spans="1:55">
      <c r="A74" s="80" t="s">
        <v>5</v>
      </c>
      <c r="B74" s="102">
        <v>324</v>
      </c>
      <c r="C74" s="103" t="s">
        <v>127</v>
      </c>
      <c r="D74" s="83">
        <v>8945</v>
      </c>
      <c r="E74" s="83">
        <v>11693.800000000001</v>
      </c>
      <c r="F74" s="104">
        <f t="shared" si="71"/>
        <v>20638.800000000003</v>
      </c>
      <c r="G74" s="104">
        <v>20638.8</v>
      </c>
      <c r="H74" s="105">
        <f t="shared" si="69"/>
        <v>0</v>
      </c>
      <c r="I74" s="83">
        <v>10.5</v>
      </c>
      <c r="J74" s="83">
        <v>0</v>
      </c>
      <c r="K74" s="106">
        <f t="shared" si="72"/>
        <v>10.5</v>
      </c>
      <c r="L74" s="107">
        <v>10.5</v>
      </c>
      <c r="M74" s="106">
        <f t="shared" si="73"/>
        <v>0</v>
      </c>
      <c r="N74" s="83">
        <v>0</v>
      </c>
      <c r="O74" s="107">
        <v>0</v>
      </c>
      <c r="P74" s="106">
        <f t="shared" si="74"/>
        <v>0</v>
      </c>
      <c r="Q74" s="83">
        <v>935607.6</v>
      </c>
      <c r="R74" s="106">
        <v>336</v>
      </c>
      <c r="S74" s="106">
        <v>929771.6</v>
      </c>
      <c r="T74" s="106">
        <v>5500</v>
      </c>
      <c r="U74" s="106">
        <f t="shared" si="70"/>
        <v>0</v>
      </c>
      <c r="V74" s="83"/>
      <c r="W74" s="106">
        <v>0</v>
      </c>
      <c r="X74" s="106">
        <v>0</v>
      </c>
      <c r="Y74" s="106">
        <v>0</v>
      </c>
      <c r="Z74" s="106">
        <v>0</v>
      </c>
      <c r="AA74" s="106">
        <f t="shared" si="75"/>
        <v>0</v>
      </c>
      <c r="AB74" s="83">
        <v>25970</v>
      </c>
      <c r="AC74" s="83">
        <v>10024</v>
      </c>
      <c r="AD74" s="83">
        <v>239.1</v>
      </c>
      <c r="AE74" s="83">
        <v>0</v>
      </c>
      <c r="AF74" s="83">
        <v>0</v>
      </c>
      <c r="AG74" s="83">
        <v>973387.6399999999</v>
      </c>
      <c r="AH74" s="108"/>
      <c r="AI74" s="83">
        <v>36690.61</v>
      </c>
      <c r="AJ74" s="83">
        <v>2471.4300000000003</v>
      </c>
      <c r="AK74" s="83">
        <v>0</v>
      </c>
      <c r="AL74" s="83">
        <v>0</v>
      </c>
      <c r="AM74" s="83">
        <v>0</v>
      </c>
      <c r="AN74" s="83">
        <v>1174846.22</v>
      </c>
      <c r="AO74" s="108"/>
      <c r="AP74" s="83">
        <v>21732.5</v>
      </c>
      <c r="AQ74" s="83">
        <v>5312.5</v>
      </c>
      <c r="AR74" s="83">
        <v>0</v>
      </c>
      <c r="AS74" s="83">
        <v>0</v>
      </c>
      <c r="AT74" s="83">
        <v>0</v>
      </c>
      <c r="AU74" s="83">
        <v>1247921.42</v>
      </c>
      <c r="AV74" s="108"/>
      <c r="AW74" s="83">
        <v>16770</v>
      </c>
      <c r="AX74" s="83">
        <v>0</v>
      </c>
      <c r="AY74" s="83">
        <v>0</v>
      </c>
      <c r="AZ74" s="83">
        <v>225</v>
      </c>
      <c r="BA74" s="83">
        <v>0</v>
      </c>
      <c r="BB74" s="83">
        <v>916804.53999999992</v>
      </c>
      <c r="BC74" s="108"/>
    </row>
    <row r="75" spans="1:55">
      <c r="A75" s="80" t="s">
        <v>5</v>
      </c>
      <c r="B75" s="102">
        <v>325</v>
      </c>
      <c r="C75" s="103" t="s">
        <v>128</v>
      </c>
      <c r="D75" s="83">
        <v>0</v>
      </c>
      <c r="E75" s="83">
        <v>0</v>
      </c>
      <c r="F75" s="104">
        <f t="shared" si="71"/>
        <v>0</v>
      </c>
      <c r="G75" s="104">
        <v>0</v>
      </c>
      <c r="H75" s="105">
        <f t="shared" si="69"/>
        <v>0</v>
      </c>
      <c r="I75" s="83">
        <v>0</v>
      </c>
      <c r="J75" s="83">
        <v>0</v>
      </c>
      <c r="K75" s="106">
        <f t="shared" si="72"/>
        <v>0</v>
      </c>
      <c r="L75" s="107">
        <v>0</v>
      </c>
      <c r="M75" s="106">
        <f t="shared" si="73"/>
        <v>0</v>
      </c>
      <c r="N75" s="83">
        <v>0</v>
      </c>
      <c r="O75" s="107">
        <v>0</v>
      </c>
      <c r="P75" s="106">
        <f t="shared" si="74"/>
        <v>0</v>
      </c>
      <c r="Q75" s="83">
        <v>10961</v>
      </c>
      <c r="R75" s="106">
        <v>10961</v>
      </c>
      <c r="S75" s="106">
        <v>0</v>
      </c>
      <c r="T75" s="106">
        <v>0</v>
      </c>
      <c r="U75" s="106">
        <f t="shared" si="70"/>
        <v>0</v>
      </c>
      <c r="V75" s="83"/>
      <c r="W75" s="106">
        <v>0</v>
      </c>
      <c r="X75" s="106">
        <v>0</v>
      </c>
      <c r="Y75" s="106">
        <v>0</v>
      </c>
      <c r="Z75" s="106">
        <v>0</v>
      </c>
      <c r="AA75" s="106">
        <f t="shared" si="75"/>
        <v>0</v>
      </c>
      <c r="AB75" s="83">
        <v>0</v>
      </c>
      <c r="AC75" s="83">
        <v>0</v>
      </c>
      <c r="AD75" s="83">
        <v>0</v>
      </c>
      <c r="AE75" s="83">
        <v>0</v>
      </c>
      <c r="AF75" s="83">
        <v>0</v>
      </c>
      <c r="AG75" s="83">
        <v>21607.14</v>
      </c>
      <c r="AH75" s="108"/>
      <c r="AI75" s="83">
        <v>0</v>
      </c>
      <c r="AJ75" s="83">
        <v>0</v>
      </c>
      <c r="AK75" s="83">
        <v>0</v>
      </c>
      <c r="AL75" s="83">
        <v>0</v>
      </c>
      <c r="AM75" s="83">
        <v>0</v>
      </c>
      <c r="AN75" s="83">
        <v>56998</v>
      </c>
      <c r="AO75" s="108"/>
      <c r="AP75" s="83">
        <v>0</v>
      </c>
      <c r="AQ75" s="83">
        <v>0</v>
      </c>
      <c r="AR75" s="83">
        <v>0</v>
      </c>
      <c r="AS75" s="83">
        <v>0</v>
      </c>
      <c r="AT75" s="83">
        <v>0</v>
      </c>
      <c r="AU75" s="83">
        <v>70173.02</v>
      </c>
      <c r="AV75" s="108"/>
      <c r="AW75" s="83">
        <v>0</v>
      </c>
      <c r="AX75" s="83">
        <v>0</v>
      </c>
      <c r="AY75" s="83">
        <v>0</v>
      </c>
      <c r="AZ75" s="83">
        <v>0</v>
      </c>
      <c r="BA75" s="83">
        <v>0</v>
      </c>
      <c r="BB75" s="83">
        <v>850</v>
      </c>
      <c r="BC75" s="108"/>
    </row>
    <row r="76" spans="1:55">
      <c r="A76" s="80" t="s">
        <v>5</v>
      </c>
      <c r="B76" s="102">
        <v>326</v>
      </c>
      <c r="C76" s="103" t="s">
        <v>129</v>
      </c>
      <c r="D76" s="83">
        <v>0</v>
      </c>
      <c r="E76" s="83">
        <v>130356923.29000001</v>
      </c>
      <c r="F76" s="104">
        <f t="shared" si="71"/>
        <v>130356923.29000001</v>
      </c>
      <c r="G76" s="104">
        <v>130356923.29000001</v>
      </c>
      <c r="H76" s="105">
        <f t="shared" si="69"/>
        <v>0</v>
      </c>
      <c r="I76" s="83">
        <v>38449213.93</v>
      </c>
      <c r="J76" s="83">
        <v>0</v>
      </c>
      <c r="K76" s="106">
        <f t="shared" si="72"/>
        <v>38449213.93</v>
      </c>
      <c r="L76" s="107">
        <v>38449213.93</v>
      </c>
      <c r="M76" s="106">
        <f t="shared" si="73"/>
        <v>0</v>
      </c>
      <c r="N76" s="83">
        <v>0</v>
      </c>
      <c r="O76" s="107">
        <v>0</v>
      </c>
      <c r="P76" s="106">
        <f t="shared" si="74"/>
        <v>0</v>
      </c>
      <c r="Q76" s="83">
        <v>0</v>
      </c>
      <c r="R76" s="106">
        <v>0</v>
      </c>
      <c r="S76" s="106">
        <v>0</v>
      </c>
      <c r="T76" s="106">
        <v>0</v>
      </c>
      <c r="U76" s="106">
        <f t="shared" si="70"/>
        <v>0</v>
      </c>
      <c r="V76" s="83"/>
      <c r="W76" s="106">
        <v>0</v>
      </c>
      <c r="X76" s="106">
        <v>0</v>
      </c>
      <c r="Y76" s="106">
        <v>0</v>
      </c>
      <c r="Z76" s="106">
        <v>0</v>
      </c>
      <c r="AA76" s="106">
        <f t="shared" si="75"/>
        <v>0</v>
      </c>
      <c r="AB76" s="83">
        <v>0</v>
      </c>
      <c r="AC76" s="83">
        <v>142672340.9000001</v>
      </c>
      <c r="AD76" s="83">
        <v>35615131.389999978</v>
      </c>
      <c r="AE76" s="83">
        <v>0</v>
      </c>
      <c r="AF76" s="83">
        <v>0</v>
      </c>
      <c r="AG76" s="83">
        <v>0</v>
      </c>
      <c r="AH76" s="108"/>
      <c r="AI76" s="83">
        <v>0</v>
      </c>
      <c r="AJ76" s="83">
        <v>163445193.43999967</v>
      </c>
      <c r="AK76" s="83">
        <v>40889342.269999966</v>
      </c>
      <c r="AL76" s="83">
        <v>0</v>
      </c>
      <c r="AM76" s="83">
        <v>0</v>
      </c>
      <c r="AN76" s="83">
        <v>0</v>
      </c>
      <c r="AO76" s="108"/>
      <c r="AP76" s="83">
        <v>0</v>
      </c>
      <c r="AQ76" s="83">
        <v>154169888.06000033</v>
      </c>
      <c r="AR76" s="83">
        <v>35866976.43999999</v>
      </c>
      <c r="AS76" s="83">
        <v>0</v>
      </c>
      <c r="AT76" s="83">
        <v>0</v>
      </c>
      <c r="AU76" s="83">
        <v>0</v>
      </c>
      <c r="AV76" s="108"/>
      <c r="AW76" s="83">
        <v>0</v>
      </c>
      <c r="AX76" s="83">
        <v>117713134.06999987</v>
      </c>
      <c r="AY76" s="83">
        <v>22940433.649999999</v>
      </c>
      <c r="AZ76" s="83">
        <v>0</v>
      </c>
      <c r="BA76" s="83">
        <v>0</v>
      </c>
      <c r="BB76" s="83">
        <v>0</v>
      </c>
      <c r="BC76" s="108"/>
    </row>
    <row r="77" spans="1:55">
      <c r="A77" s="80" t="s">
        <v>5</v>
      </c>
      <c r="B77" s="102">
        <v>328</v>
      </c>
      <c r="C77" s="103" t="s">
        <v>130</v>
      </c>
      <c r="D77" s="83">
        <v>11703</v>
      </c>
      <c r="E77" s="83">
        <v>0</v>
      </c>
      <c r="F77" s="104">
        <f t="shared" si="71"/>
        <v>11703</v>
      </c>
      <c r="G77" s="104">
        <v>11703</v>
      </c>
      <c r="H77" s="105">
        <f t="shared" si="69"/>
        <v>0</v>
      </c>
      <c r="I77" s="83">
        <v>0</v>
      </c>
      <c r="J77" s="83">
        <v>0</v>
      </c>
      <c r="K77" s="106">
        <f t="shared" si="72"/>
        <v>0</v>
      </c>
      <c r="L77" s="107">
        <v>0</v>
      </c>
      <c r="M77" s="106">
        <f t="shared" si="73"/>
        <v>0</v>
      </c>
      <c r="N77" s="83">
        <v>7170</v>
      </c>
      <c r="O77" s="107">
        <v>7170</v>
      </c>
      <c r="P77" s="106">
        <f t="shared" si="74"/>
        <v>0</v>
      </c>
      <c r="Q77" s="83">
        <v>121397</v>
      </c>
      <c r="R77" s="106">
        <v>1709</v>
      </c>
      <c r="S77" s="106">
        <v>79063</v>
      </c>
      <c r="T77" s="106">
        <v>40625</v>
      </c>
      <c r="U77" s="106">
        <f t="shared" si="70"/>
        <v>0</v>
      </c>
      <c r="V77" s="83"/>
      <c r="W77" s="106">
        <v>0</v>
      </c>
      <c r="X77" s="106">
        <v>0</v>
      </c>
      <c r="Y77" s="106">
        <v>0</v>
      </c>
      <c r="Z77" s="106">
        <v>0</v>
      </c>
      <c r="AA77" s="106">
        <f t="shared" si="75"/>
        <v>0</v>
      </c>
      <c r="AB77" s="83">
        <v>6927.8</v>
      </c>
      <c r="AC77" s="83">
        <v>1271.4000000000001</v>
      </c>
      <c r="AD77" s="83">
        <v>0</v>
      </c>
      <c r="AE77" s="83">
        <v>1885</v>
      </c>
      <c r="AF77" s="83">
        <v>2247.1</v>
      </c>
      <c r="AG77" s="83">
        <v>130877.7</v>
      </c>
      <c r="AH77" s="108"/>
      <c r="AI77" s="83">
        <v>58572.2</v>
      </c>
      <c r="AJ77" s="83">
        <v>7040</v>
      </c>
      <c r="AK77" s="83">
        <v>0</v>
      </c>
      <c r="AL77" s="83">
        <v>0</v>
      </c>
      <c r="AM77" s="83">
        <v>4020</v>
      </c>
      <c r="AN77" s="83">
        <v>26332</v>
      </c>
      <c r="AO77" s="108"/>
      <c r="AP77" s="83">
        <v>750</v>
      </c>
      <c r="AQ77" s="83">
        <v>0</v>
      </c>
      <c r="AR77" s="83">
        <v>0</v>
      </c>
      <c r="AS77" s="83">
        <v>640</v>
      </c>
      <c r="AT77" s="83">
        <v>0</v>
      </c>
      <c r="AU77" s="83">
        <v>22050</v>
      </c>
      <c r="AV77" s="108"/>
      <c r="AW77" s="83">
        <v>0</v>
      </c>
      <c r="AX77" s="83">
        <v>0</v>
      </c>
      <c r="AY77" s="83">
        <v>0</v>
      </c>
      <c r="AZ77" s="83">
        <v>0</v>
      </c>
      <c r="BA77" s="83">
        <v>0</v>
      </c>
      <c r="BB77" s="83">
        <v>18240</v>
      </c>
      <c r="BC77" s="108"/>
    </row>
    <row r="78" spans="1:55">
      <c r="A78" s="80" t="s">
        <v>5</v>
      </c>
      <c r="B78" s="102">
        <v>329</v>
      </c>
      <c r="C78" s="103" t="s">
        <v>131</v>
      </c>
      <c r="D78" s="83">
        <v>0</v>
      </c>
      <c r="E78" s="83">
        <v>8256210.5299999965</v>
      </c>
      <c r="F78" s="104">
        <f t="shared" si="71"/>
        <v>8256210.5299999965</v>
      </c>
      <c r="G78" s="104">
        <v>8256210.5300000003</v>
      </c>
      <c r="H78" s="105">
        <f t="shared" si="69"/>
        <v>0</v>
      </c>
      <c r="I78" s="83">
        <v>4990237.91</v>
      </c>
      <c r="J78" s="83">
        <v>0</v>
      </c>
      <c r="K78" s="106">
        <f t="shared" si="72"/>
        <v>4990237.91</v>
      </c>
      <c r="L78" s="107">
        <v>4990237.91</v>
      </c>
      <c r="M78" s="106">
        <f t="shared" si="73"/>
        <v>0</v>
      </c>
      <c r="N78" s="83">
        <v>0</v>
      </c>
      <c r="O78" s="107">
        <v>0</v>
      </c>
      <c r="P78" s="106">
        <f t="shared" si="74"/>
        <v>0</v>
      </c>
      <c r="Q78" s="83">
        <v>0</v>
      </c>
      <c r="R78" s="106">
        <v>0</v>
      </c>
      <c r="S78" s="106">
        <v>0</v>
      </c>
      <c r="T78" s="106">
        <v>0</v>
      </c>
      <c r="U78" s="106">
        <f t="shared" si="70"/>
        <v>0</v>
      </c>
      <c r="V78" s="83"/>
      <c r="W78" s="106">
        <v>0</v>
      </c>
      <c r="X78" s="106">
        <v>0</v>
      </c>
      <c r="Y78" s="106">
        <v>0</v>
      </c>
      <c r="Z78" s="106">
        <v>0</v>
      </c>
      <c r="AA78" s="106">
        <f t="shared" si="75"/>
        <v>0</v>
      </c>
      <c r="AB78" s="83">
        <v>0</v>
      </c>
      <c r="AC78" s="83">
        <v>7796686.8100000024</v>
      </c>
      <c r="AD78" s="83">
        <v>5964270.870000001</v>
      </c>
      <c r="AE78" s="83">
        <v>0</v>
      </c>
      <c r="AF78" s="83">
        <v>0</v>
      </c>
      <c r="AG78" s="83">
        <v>0</v>
      </c>
      <c r="AH78" s="108"/>
      <c r="AI78" s="83">
        <v>0</v>
      </c>
      <c r="AJ78" s="83">
        <v>9869610.9999999963</v>
      </c>
      <c r="AK78" s="83">
        <v>5171800.1500000004</v>
      </c>
      <c r="AL78" s="83">
        <v>0</v>
      </c>
      <c r="AM78" s="83">
        <v>0</v>
      </c>
      <c r="AN78" s="83">
        <v>0</v>
      </c>
      <c r="AO78" s="108"/>
      <c r="AP78" s="83">
        <v>0</v>
      </c>
      <c r="AQ78" s="83">
        <v>8716265.3100000024</v>
      </c>
      <c r="AR78" s="83">
        <v>10667590.59</v>
      </c>
      <c r="AS78" s="83">
        <v>0</v>
      </c>
      <c r="AT78" s="83">
        <v>0</v>
      </c>
      <c r="AU78" s="83">
        <v>0</v>
      </c>
      <c r="AV78" s="108"/>
      <c r="AW78" s="83">
        <v>0</v>
      </c>
      <c r="AX78" s="83">
        <v>9692069.0099999998</v>
      </c>
      <c r="AY78" s="83">
        <v>7846747.5700000003</v>
      </c>
      <c r="AZ78" s="83">
        <v>0</v>
      </c>
      <c r="BA78" s="83">
        <v>0</v>
      </c>
      <c r="BB78" s="83">
        <v>0</v>
      </c>
      <c r="BC78" s="108"/>
    </row>
    <row r="79" spans="1:55">
      <c r="A79" s="80" t="s">
        <v>5</v>
      </c>
      <c r="B79" s="102">
        <v>330</v>
      </c>
      <c r="C79" s="103" t="s">
        <v>132</v>
      </c>
      <c r="D79" s="83">
        <v>0</v>
      </c>
      <c r="E79" s="83">
        <v>0</v>
      </c>
      <c r="F79" s="104">
        <f t="shared" si="71"/>
        <v>0</v>
      </c>
      <c r="G79" s="104">
        <v>0</v>
      </c>
      <c r="H79" s="105">
        <f t="shared" si="69"/>
        <v>0</v>
      </c>
      <c r="I79" s="83">
        <v>0</v>
      </c>
      <c r="J79" s="83">
        <v>60442354.280000001</v>
      </c>
      <c r="K79" s="106">
        <f t="shared" si="72"/>
        <v>60442354.280000001</v>
      </c>
      <c r="L79" s="107">
        <v>60442354.280000001</v>
      </c>
      <c r="M79" s="106">
        <f t="shared" si="73"/>
        <v>0</v>
      </c>
      <c r="N79" s="83">
        <v>0</v>
      </c>
      <c r="O79" s="107">
        <v>0</v>
      </c>
      <c r="P79" s="106">
        <f t="shared" si="74"/>
        <v>0</v>
      </c>
      <c r="Q79" s="83">
        <v>0</v>
      </c>
      <c r="R79" s="106">
        <v>0</v>
      </c>
      <c r="S79" s="106">
        <v>0</v>
      </c>
      <c r="T79" s="106">
        <v>0</v>
      </c>
      <c r="U79" s="106">
        <f t="shared" si="70"/>
        <v>0</v>
      </c>
      <c r="V79" s="83"/>
      <c r="W79" s="106">
        <v>0</v>
      </c>
      <c r="X79" s="106">
        <v>0</v>
      </c>
      <c r="Y79" s="106">
        <v>0</v>
      </c>
      <c r="Z79" s="106">
        <v>0</v>
      </c>
      <c r="AA79" s="106">
        <f t="shared" si="75"/>
        <v>0</v>
      </c>
      <c r="AB79" s="83">
        <v>0</v>
      </c>
      <c r="AC79" s="83">
        <v>0</v>
      </c>
      <c r="AD79" s="83">
        <v>0</v>
      </c>
      <c r="AE79" s="83">
        <v>69191097.970000029</v>
      </c>
      <c r="AF79" s="83">
        <v>0</v>
      </c>
      <c r="AG79" s="83">
        <v>0</v>
      </c>
      <c r="AH79" s="108"/>
      <c r="AI79" s="83">
        <v>0</v>
      </c>
      <c r="AJ79" s="83">
        <v>0</v>
      </c>
      <c r="AK79" s="83">
        <v>0</v>
      </c>
      <c r="AL79" s="83">
        <v>78602428.810000017</v>
      </c>
      <c r="AM79" s="83">
        <v>0</v>
      </c>
      <c r="AN79" s="83">
        <v>0</v>
      </c>
      <c r="AO79" s="108"/>
      <c r="AP79" s="83">
        <v>0</v>
      </c>
      <c r="AQ79" s="83">
        <v>0</v>
      </c>
      <c r="AR79" s="83">
        <v>0</v>
      </c>
      <c r="AS79" s="83">
        <v>96048796.520000041</v>
      </c>
      <c r="AT79" s="83">
        <v>0</v>
      </c>
      <c r="AU79" s="83">
        <v>0</v>
      </c>
      <c r="AV79" s="108"/>
      <c r="AW79" s="83">
        <v>0</v>
      </c>
      <c r="AX79" s="83">
        <v>0</v>
      </c>
      <c r="AY79" s="83">
        <v>0</v>
      </c>
      <c r="AZ79" s="83">
        <v>64040868.699999973</v>
      </c>
      <c r="BA79" s="83">
        <v>0</v>
      </c>
      <c r="BB79" s="83">
        <v>0</v>
      </c>
      <c r="BC79" s="108"/>
    </row>
    <row r="80" spans="1:55">
      <c r="A80" s="80" t="s">
        <v>5</v>
      </c>
      <c r="B80" s="102">
        <v>331</v>
      </c>
      <c r="C80" s="103" t="s">
        <v>133</v>
      </c>
      <c r="D80" s="83">
        <v>0</v>
      </c>
      <c r="E80" s="83">
        <v>0</v>
      </c>
      <c r="F80" s="104">
        <f t="shared" si="71"/>
        <v>0</v>
      </c>
      <c r="G80" s="104">
        <v>0</v>
      </c>
      <c r="H80" s="105">
        <f t="shared" si="69"/>
        <v>0</v>
      </c>
      <c r="I80" s="83">
        <v>0</v>
      </c>
      <c r="J80" s="83">
        <v>0</v>
      </c>
      <c r="K80" s="106">
        <f t="shared" si="72"/>
        <v>0</v>
      </c>
      <c r="L80" s="107">
        <v>0</v>
      </c>
      <c r="M80" s="106">
        <f t="shared" si="73"/>
        <v>0</v>
      </c>
      <c r="N80" s="83">
        <v>0</v>
      </c>
      <c r="O80" s="107">
        <v>0</v>
      </c>
      <c r="P80" s="106">
        <f t="shared" si="74"/>
        <v>0</v>
      </c>
      <c r="Q80" s="83">
        <v>3510848.61</v>
      </c>
      <c r="R80" s="106">
        <v>0</v>
      </c>
      <c r="S80" s="106">
        <v>3510848.61</v>
      </c>
      <c r="T80" s="106">
        <v>0</v>
      </c>
      <c r="U80" s="106">
        <f t="shared" si="70"/>
        <v>0</v>
      </c>
      <c r="V80" s="83"/>
      <c r="W80" s="106">
        <v>0</v>
      </c>
      <c r="X80" s="106">
        <v>0</v>
      </c>
      <c r="Y80" s="106">
        <v>0</v>
      </c>
      <c r="Z80" s="106">
        <v>0</v>
      </c>
      <c r="AA80" s="106">
        <f t="shared" si="75"/>
        <v>0</v>
      </c>
      <c r="AB80" s="83">
        <v>0</v>
      </c>
      <c r="AC80" s="83">
        <v>0</v>
      </c>
      <c r="AD80" s="83">
        <v>0</v>
      </c>
      <c r="AE80" s="83">
        <v>0</v>
      </c>
      <c r="AF80" s="83">
        <v>0</v>
      </c>
      <c r="AG80" s="83">
        <v>4416338.67</v>
      </c>
      <c r="AH80" s="108"/>
      <c r="AI80" s="83">
        <v>0</v>
      </c>
      <c r="AJ80" s="83">
        <v>0</v>
      </c>
      <c r="AK80" s="83">
        <v>0</v>
      </c>
      <c r="AL80" s="83">
        <v>0</v>
      </c>
      <c r="AM80" s="83">
        <v>0</v>
      </c>
      <c r="AN80" s="83">
        <v>5296739.8499999996</v>
      </c>
      <c r="AO80" s="108"/>
      <c r="AP80" s="83">
        <v>0</v>
      </c>
      <c r="AQ80" s="83">
        <v>0</v>
      </c>
      <c r="AR80" s="83">
        <v>0</v>
      </c>
      <c r="AS80" s="83">
        <v>0</v>
      </c>
      <c r="AT80" s="83">
        <v>6077437.3700000001</v>
      </c>
      <c r="AU80" s="83">
        <v>0</v>
      </c>
      <c r="AV80" s="108"/>
      <c r="AW80" s="83">
        <v>0</v>
      </c>
      <c r="AX80" s="83">
        <v>0</v>
      </c>
      <c r="AY80" s="83">
        <v>0</v>
      </c>
      <c r="AZ80" s="83">
        <v>0</v>
      </c>
      <c r="BA80" s="83">
        <v>5043615.57</v>
      </c>
      <c r="BB80" s="83">
        <v>0</v>
      </c>
      <c r="BC80" s="108"/>
    </row>
    <row r="81" spans="1:55">
      <c r="A81" s="80" t="s">
        <v>5</v>
      </c>
      <c r="B81" s="102">
        <v>332</v>
      </c>
      <c r="C81" s="103" t="s">
        <v>134</v>
      </c>
      <c r="D81" s="83">
        <v>1534392.01</v>
      </c>
      <c r="E81" s="83">
        <v>29519.599999999999</v>
      </c>
      <c r="F81" s="104">
        <f t="shared" si="71"/>
        <v>1563911.61</v>
      </c>
      <c r="G81" s="104">
        <v>1563911.61</v>
      </c>
      <c r="H81" s="105">
        <f t="shared" si="69"/>
        <v>0</v>
      </c>
      <c r="I81" s="83">
        <v>0</v>
      </c>
      <c r="J81" s="83">
        <v>0</v>
      </c>
      <c r="K81" s="106">
        <f t="shared" si="72"/>
        <v>0</v>
      </c>
      <c r="L81" s="107">
        <v>0</v>
      </c>
      <c r="M81" s="106">
        <f t="shared" si="73"/>
        <v>0</v>
      </c>
      <c r="N81" s="83">
        <v>0</v>
      </c>
      <c r="O81" s="107">
        <v>0</v>
      </c>
      <c r="P81" s="106">
        <f t="shared" si="74"/>
        <v>0</v>
      </c>
      <c r="Q81" s="83">
        <v>0</v>
      </c>
      <c r="R81" s="106">
        <v>0</v>
      </c>
      <c r="S81" s="106">
        <v>0</v>
      </c>
      <c r="T81" s="106">
        <v>0</v>
      </c>
      <c r="U81" s="106">
        <f t="shared" si="70"/>
        <v>0</v>
      </c>
      <c r="V81" s="83"/>
      <c r="W81" s="106">
        <v>0</v>
      </c>
      <c r="X81" s="106">
        <v>0</v>
      </c>
      <c r="Y81" s="106">
        <v>0</v>
      </c>
      <c r="Z81" s="106">
        <v>0</v>
      </c>
      <c r="AA81" s="106">
        <f t="shared" si="75"/>
        <v>0</v>
      </c>
      <c r="AB81" s="83">
        <v>1874837.7499999998</v>
      </c>
      <c r="AC81" s="83">
        <v>7605.23</v>
      </c>
      <c r="AD81" s="83">
        <v>0</v>
      </c>
      <c r="AE81" s="83">
        <v>0</v>
      </c>
      <c r="AF81" s="83">
        <v>0</v>
      </c>
      <c r="AG81" s="83">
        <v>0</v>
      </c>
      <c r="AH81" s="108"/>
      <c r="AI81" s="83">
        <v>3243477.55</v>
      </c>
      <c r="AJ81" s="83">
        <v>39009.5</v>
      </c>
      <c r="AK81" s="83">
        <v>0</v>
      </c>
      <c r="AL81" s="83">
        <v>0</v>
      </c>
      <c r="AM81" s="83">
        <v>0</v>
      </c>
      <c r="AN81" s="83">
        <v>0</v>
      </c>
      <c r="AO81" s="108"/>
      <c r="AP81" s="83">
        <v>2145022.42</v>
      </c>
      <c r="AQ81" s="83">
        <v>75918.91</v>
      </c>
      <c r="AR81" s="83">
        <v>0</v>
      </c>
      <c r="AS81" s="83">
        <v>0</v>
      </c>
      <c r="AT81" s="83">
        <v>0</v>
      </c>
      <c r="AU81" s="83">
        <v>0</v>
      </c>
      <c r="AV81" s="108"/>
      <c r="AW81" s="83">
        <v>875597.93</v>
      </c>
      <c r="AX81" s="83">
        <v>16540</v>
      </c>
      <c r="AY81" s="83">
        <v>0</v>
      </c>
      <c r="AZ81" s="83">
        <v>0</v>
      </c>
      <c r="BA81" s="83">
        <v>0</v>
      </c>
      <c r="BB81" s="83">
        <v>0</v>
      </c>
      <c r="BC81" s="108"/>
    </row>
    <row r="82" spans="1:55">
      <c r="A82" s="80" t="s">
        <v>5</v>
      </c>
      <c r="B82" s="102">
        <v>333</v>
      </c>
      <c r="C82" s="103" t="s">
        <v>135</v>
      </c>
      <c r="D82" s="83">
        <v>0</v>
      </c>
      <c r="E82" s="83">
        <v>0</v>
      </c>
      <c r="F82" s="104">
        <f t="shared" si="71"/>
        <v>0</v>
      </c>
      <c r="G82" s="104">
        <v>0</v>
      </c>
      <c r="H82" s="105">
        <f t="shared" si="69"/>
        <v>0</v>
      </c>
      <c r="I82" s="83">
        <v>0</v>
      </c>
      <c r="J82" s="83"/>
      <c r="K82" s="106">
        <f t="shared" si="72"/>
        <v>0</v>
      </c>
      <c r="L82" s="107">
        <v>0</v>
      </c>
      <c r="M82" s="106">
        <f t="shared" si="73"/>
        <v>0</v>
      </c>
      <c r="N82" s="83">
        <v>0</v>
      </c>
      <c r="O82" s="107">
        <v>0</v>
      </c>
      <c r="P82" s="106">
        <f t="shared" si="74"/>
        <v>0</v>
      </c>
      <c r="Q82" s="83"/>
      <c r="R82" s="106">
        <v>0</v>
      </c>
      <c r="S82" s="106">
        <v>0</v>
      </c>
      <c r="T82" s="106">
        <v>0</v>
      </c>
      <c r="U82" s="106">
        <f t="shared" si="70"/>
        <v>0</v>
      </c>
      <c r="V82" s="83"/>
      <c r="W82" s="106">
        <v>0</v>
      </c>
      <c r="X82" s="106">
        <v>0</v>
      </c>
      <c r="Y82" s="106">
        <v>0</v>
      </c>
      <c r="Z82" s="106">
        <v>0</v>
      </c>
      <c r="AA82" s="106">
        <f t="shared" si="75"/>
        <v>0</v>
      </c>
      <c r="AB82" s="83"/>
      <c r="AC82" s="83"/>
      <c r="AD82" s="83"/>
      <c r="AE82" s="83"/>
      <c r="AF82" s="83"/>
      <c r="AG82" s="83"/>
      <c r="AH82" s="108"/>
      <c r="AI82" s="83"/>
      <c r="AJ82" s="83"/>
      <c r="AK82" s="83"/>
      <c r="AL82" s="83"/>
      <c r="AM82" s="83"/>
      <c r="AN82" s="83"/>
      <c r="AO82" s="108"/>
      <c r="AP82" s="83"/>
      <c r="AQ82" s="83"/>
      <c r="AR82" s="83"/>
      <c r="AS82" s="83"/>
      <c r="AT82" s="83"/>
      <c r="AU82" s="83"/>
      <c r="AV82" s="108"/>
      <c r="AW82" s="83"/>
      <c r="AX82" s="83"/>
      <c r="AY82" s="83"/>
      <c r="AZ82" s="83"/>
      <c r="BA82" s="83"/>
      <c r="BB82" s="83"/>
      <c r="BC82" s="108"/>
    </row>
    <row r="83" spans="1:55" s="112" customFormat="1">
      <c r="A83" s="109"/>
      <c r="B83" s="84"/>
      <c r="C83" s="103"/>
      <c r="D83" s="110"/>
      <c r="E83" s="110"/>
      <c r="F83" s="104"/>
      <c r="G83" s="104"/>
      <c r="H83" s="105"/>
      <c r="I83" s="110"/>
      <c r="J83" s="110"/>
      <c r="K83" s="106"/>
      <c r="L83" s="107"/>
      <c r="M83" s="106"/>
      <c r="N83" s="110"/>
      <c r="O83" s="107"/>
      <c r="P83" s="106"/>
      <c r="Q83" s="110"/>
      <c r="R83" s="106"/>
      <c r="S83" s="106"/>
      <c r="T83" s="106"/>
      <c r="U83" s="106"/>
      <c r="V83" s="110"/>
      <c r="W83" s="106"/>
      <c r="X83" s="106"/>
      <c r="Y83" s="106"/>
      <c r="Z83" s="106"/>
      <c r="AA83" s="106"/>
      <c r="AB83" s="110"/>
      <c r="AC83" s="110"/>
      <c r="AD83" s="110"/>
      <c r="AE83" s="83"/>
      <c r="AF83" s="83"/>
      <c r="AG83" s="83"/>
      <c r="AH83" s="111"/>
      <c r="AI83" s="83"/>
      <c r="AJ83" s="83"/>
      <c r="AK83" s="83"/>
      <c r="AL83" s="83"/>
      <c r="AM83" s="83"/>
      <c r="AN83" s="83"/>
      <c r="AO83" s="111"/>
      <c r="AP83" s="83"/>
      <c r="AQ83" s="83"/>
      <c r="AR83" s="83"/>
      <c r="AS83" s="83"/>
      <c r="AT83" s="83"/>
      <c r="AU83" s="83"/>
      <c r="AV83" s="111"/>
      <c r="AW83" s="83"/>
      <c r="AX83" s="83"/>
      <c r="AY83" s="83"/>
      <c r="AZ83" s="83"/>
      <c r="BA83" s="83"/>
      <c r="BB83" s="83"/>
      <c r="BC83" s="111"/>
    </row>
    <row r="84" spans="1:55">
      <c r="B84" s="87" t="s">
        <v>231</v>
      </c>
      <c r="C84" s="88"/>
      <c r="D84" s="98">
        <f>SUM(D85:D85)</f>
        <v>0</v>
      </c>
      <c r="E84" s="98">
        <f t="shared" ref="E84:V84" si="76">SUM(E85:E85)</f>
        <v>0</v>
      </c>
      <c r="F84" s="99">
        <f t="shared" si="71"/>
        <v>0</v>
      </c>
      <c r="G84" s="99">
        <f>SUM(G85)</f>
        <v>0</v>
      </c>
      <c r="H84" s="99">
        <f>F84-G84</f>
        <v>0</v>
      </c>
      <c r="I84" s="98">
        <f t="shared" si="76"/>
        <v>0</v>
      </c>
      <c r="J84" s="98">
        <f t="shared" si="76"/>
        <v>0</v>
      </c>
      <c r="K84" s="100">
        <f t="shared" si="72"/>
        <v>0</v>
      </c>
      <c r="L84" s="100">
        <f>SUM(L85)</f>
        <v>0</v>
      </c>
      <c r="M84" s="100">
        <f t="shared" si="73"/>
        <v>0</v>
      </c>
      <c r="N84" s="98">
        <f t="shared" si="76"/>
        <v>0</v>
      </c>
      <c r="O84" s="100">
        <f>SUM(O85)</f>
        <v>0</v>
      </c>
      <c r="P84" s="100">
        <f t="shared" si="74"/>
        <v>0</v>
      </c>
      <c r="Q84" s="98">
        <f t="shared" si="76"/>
        <v>19868771.68</v>
      </c>
      <c r="R84" s="100">
        <f>SUM(R85)</f>
        <v>0</v>
      </c>
      <c r="S84" s="100">
        <f>SUM(S85)</f>
        <v>19868771.68</v>
      </c>
      <c r="T84" s="100">
        <f>SUM(T85)</f>
        <v>0</v>
      </c>
      <c r="U84" s="100">
        <f>Q84-R84-S84-T84</f>
        <v>0</v>
      </c>
      <c r="V84" s="98">
        <f t="shared" si="76"/>
        <v>0</v>
      </c>
      <c r="W84" s="100">
        <f t="shared" ref="W84:Z84" si="77">SUM(W85)</f>
        <v>0</v>
      </c>
      <c r="X84" s="100">
        <f t="shared" si="77"/>
        <v>0</v>
      </c>
      <c r="Y84" s="100">
        <f t="shared" si="77"/>
        <v>0</v>
      </c>
      <c r="Z84" s="100">
        <f t="shared" si="77"/>
        <v>0</v>
      </c>
      <c r="AA84" s="100">
        <f t="shared" si="75"/>
        <v>0</v>
      </c>
      <c r="AB84" s="98">
        <f>SUM(AB85:AB85)</f>
        <v>0</v>
      </c>
      <c r="AC84" s="98">
        <f t="shared" ref="AC84:AH84" si="78">SUM(AC85:AC85)</f>
        <v>0</v>
      </c>
      <c r="AD84" s="98">
        <f t="shared" si="78"/>
        <v>0</v>
      </c>
      <c r="AE84" s="98">
        <f t="shared" si="78"/>
        <v>0</v>
      </c>
      <c r="AF84" s="98">
        <f t="shared" si="78"/>
        <v>0</v>
      </c>
      <c r="AG84" s="98">
        <f t="shared" si="78"/>
        <v>16292050.6</v>
      </c>
      <c r="AH84" s="101">
        <f t="shared" si="78"/>
        <v>0</v>
      </c>
      <c r="AI84" s="98">
        <f>SUM(AI85:AI85)</f>
        <v>0</v>
      </c>
      <c r="AJ84" s="98">
        <f t="shared" ref="AJ84:AO84" si="79">SUM(AJ85:AJ85)</f>
        <v>0</v>
      </c>
      <c r="AK84" s="98">
        <f t="shared" si="79"/>
        <v>0</v>
      </c>
      <c r="AL84" s="98">
        <f t="shared" si="79"/>
        <v>0</v>
      </c>
      <c r="AM84" s="98">
        <f t="shared" si="79"/>
        <v>0</v>
      </c>
      <c r="AN84" s="98">
        <f t="shared" si="79"/>
        <v>7840425.1799999997</v>
      </c>
      <c r="AO84" s="101">
        <f t="shared" si="79"/>
        <v>0</v>
      </c>
      <c r="AP84" s="98">
        <f>SUM(AP85:AP85)</f>
        <v>0</v>
      </c>
      <c r="AQ84" s="98">
        <f t="shared" ref="AQ84:AV84" si="80">SUM(AQ85:AQ85)</f>
        <v>0</v>
      </c>
      <c r="AR84" s="98">
        <f t="shared" si="80"/>
        <v>0</v>
      </c>
      <c r="AS84" s="98">
        <f t="shared" si="80"/>
        <v>0</v>
      </c>
      <c r="AT84" s="98">
        <f t="shared" si="80"/>
        <v>0</v>
      </c>
      <c r="AU84" s="98">
        <f t="shared" si="80"/>
        <v>9195511.2300000004</v>
      </c>
      <c r="AV84" s="101">
        <f t="shared" si="80"/>
        <v>0</v>
      </c>
      <c r="AW84" s="98">
        <f>SUM(AW85:AW85)</f>
        <v>0</v>
      </c>
      <c r="AX84" s="98">
        <f t="shared" ref="AX84:BC84" si="81">SUM(AX85:AX85)</f>
        <v>0</v>
      </c>
      <c r="AY84" s="98">
        <f t="shared" si="81"/>
        <v>0</v>
      </c>
      <c r="AZ84" s="98">
        <f t="shared" si="81"/>
        <v>0</v>
      </c>
      <c r="BA84" s="98">
        <f t="shared" si="81"/>
        <v>0</v>
      </c>
      <c r="BB84" s="98">
        <f t="shared" si="81"/>
        <v>10438302.59</v>
      </c>
      <c r="BC84" s="101">
        <f t="shared" si="81"/>
        <v>0</v>
      </c>
    </row>
    <row r="85" spans="1:55">
      <c r="A85" s="80" t="s">
        <v>6</v>
      </c>
      <c r="B85" s="102">
        <v>307</v>
      </c>
      <c r="C85" s="103" t="s">
        <v>136</v>
      </c>
      <c r="D85" s="83">
        <v>0</v>
      </c>
      <c r="E85" s="83">
        <v>0</v>
      </c>
      <c r="F85" s="104">
        <f t="shared" si="71"/>
        <v>0</v>
      </c>
      <c r="G85" s="104">
        <v>0</v>
      </c>
      <c r="H85" s="105">
        <f t="shared" ref="H85" si="82">F85-G85</f>
        <v>0</v>
      </c>
      <c r="I85" s="83"/>
      <c r="J85" s="83">
        <v>0</v>
      </c>
      <c r="K85" s="106">
        <f t="shared" si="72"/>
        <v>0</v>
      </c>
      <c r="L85" s="107">
        <v>0</v>
      </c>
      <c r="M85" s="106">
        <f t="shared" si="73"/>
        <v>0</v>
      </c>
      <c r="N85" s="83">
        <v>0</v>
      </c>
      <c r="O85" s="107">
        <v>0</v>
      </c>
      <c r="P85" s="106">
        <f t="shared" si="74"/>
        <v>0</v>
      </c>
      <c r="Q85" s="83">
        <v>19868771.68</v>
      </c>
      <c r="R85" s="106">
        <v>0</v>
      </c>
      <c r="S85" s="106">
        <v>19868771.68</v>
      </c>
      <c r="T85" s="106">
        <v>0</v>
      </c>
      <c r="U85" s="106">
        <f>Q85-R85-S85-T85</f>
        <v>0</v>
      </c>
      <c r="V85" s="83"/>
      <c r="W85" s="106">
        <v>0</v>
      </c>
      <c r="X85" s="106">
        <v>0</v>
      </c>
      <c r="Y85" s="106">
        <v>0</v>
      </c>
      <c r="Z85" s="106">
        <v>0</v>
      </c>
      <c r="AA85" s="106">
        <f t="shared" si="75"/>
        <v>0</v>
      </c>
      <c r="AB85" s="83">
        <v>0</v>
      </c>
      <c r="AC85" s="83">
        <v>0</v>
      </c>
      <c r="AD85" s="83">
        <v>0</v>
      </c>
      <c r="AE85" s="83">
        <v>0</v>
      </c>
      <c r="AF85" s="83">
        <v>0</v>
      </c>
      <c r="AG85" s="83">
        <v>16292050.6</v>
      </c>
      <c r="AH85" s="108"/>
      <c r="AI85" s="83">
        <v>0</v>
      </c>
      <c r="AJ85" s="83">
        <v>0</v>
      </c>
      <c r="AK85" s="83">
        <v>0</v>
      </c>
      <c r="AL85" s="83">
        <v>0</v>
      </c>
      <c r="AM85" s="83">
        <v>0</v>
      </c>
      <c r="AN85" s="83">
        <v>7840425.1799999997</v>
      </c>
      <c r="AO85" s="108"/>
      <c r="AP85" s="83">
        <v>0</v>
      </c>
      <c r="AQ85" s="83">
        <v>0</v>
      </c>
      <c r="AR85" s="83">
        <v>0</v>
      </c>
      <c r="AS85" s="83">
        <v>0</v>
      </c>
      <c r="AT85" s="83">
        <v>0</v>
      </c>
      <c r="AU85" s="83">
        <v>9195511.2300000004</v>
      </c>
      <c r="AV85" s="108"/>
      <c r="AW85" s="83">
        <v>0</v>
      </c>
      <c r="AX85" s="83">
        <v>0</v>
      </c>
      <c r="AY85" s="83">
        <v>0</v>
      </c>
      <c r="AZ85" s="83">
        <v>0</v>
      </c>
      <c r="BA85" s="83">
        <v>0</v>
      </c>
      <c r="BB85" s="83">
        <v>10438302.59</v>
      </c>
      <c r="BC85" s="108"/>
    </row>
    <row r="86" spans="1:55" s="112" customFormat="1">
      <c r="A86" s="109"/>
      <c r="B86" s="84"/>
      <c r="C86" s="103"/>
      <c r="D86" s="110"/>
      <c r="E86" s="110"/>
      <c r="F86" s="104"/>
      <c r="G86" s="104"/>
      <c r="H86" s="105"/>
      <c r="I86" s="110"/>
      <c r="J86" s="110"/>
      <c r="K86" s="106"/>
      <c r="L86" s="107"/>
      <c r="M86" s="106"/>
      <c r="N86" s="110"/>
      <c r="O86" s="107"/>
      <c r="P86" s="106"/>
      <c r="Q86" s="110"/>
      <c r="R86" s="106"/>
      <c r="S86" s="106"/>
      <c r="T86" s="106"/>
      <c r="U86" s="106"/>
      <c r="V86" s="110"/>
      <c r="W86" s="106"/>
      <c r="X86" s="106"/>
      <c r="Y86" s="106"/>
      <c r="Z86" s="106"/>
      <c r="AA86" s="106"/>
      <c r="AB86" s="110"/>
      <c r="AC86" s="110"/>
      <c r="AD86" s="110"/>
      <c r="AE86" s="83"/>
      <c r="AF86" s="83"/>
      <c r="AG86" s="83"/>
      <c r="AH86" s="111"/>
      <c r="AI86" s="83"/>
      <c r="AJ86" s="83"/>
      <c r="AK86" s="83"/>
      <c r="AL86" s="83"/>
      <c r="AM86" s="83"/>
      <c r="AN86" s="83"/>
      <c r="AO86" s="111"/>
      <c r="AP86" s="83"/>
      <c r="AQ86" s="83"/>
      <c r="AR86" s="83"/>
      <c r="AS86" s="83"/>
      <c r="AT86" s="83"/>
      <c r="AU86" s="83"/>
      <c r="AV86" s="111"/>
      <c r="AW86" s="83"/>
      <c r="AX86" s="83"/>
      <c r="AY86" s="83"/>
      <c r="AZ86" s="83"/>
      <c r="BA86" s="83"/>
      <c r="BB86" s="83"/>
      <c r="BC86" s="111"/>
    </row>
    <row r="87" spans="1:55">
      <c r="B87" s="87" t="s">
        <v>232</v>
      </c>
      <c r="C87" s="88"/>
      <c r="D87" s="98">
        <f>SUM(D88:D90)</f>
        <v>900</v>
      </c>
      <c r="E87" s="98">
        <f t="shared" ref="E87:Z87" si="83">SUM(E88:E90)</f>
        <v>0</v>
      </c>
      <c r="F87" s="99">
        <f t="shared" si="71"/>
        <v>900</v>
      </c>
      <c r="G87" s="99">
        <f>SUM(G88:G90)</f>
        <v>900</v>
      </c>
      <c r="H87" s="99">
        <f t="shared" ref="H87:H90" si="84">F87-G87</f>
        <v>0</v>
      </c>
      <c r="I87" s="98">
        <f t="shared" si="83"/>
        <v>0</v>
      </c>
      <c r="J87" s="98">
        <f t="shared" si="83"/>
        <v>0</v>
      </c>
      <c r="K87" s="100">
        <f t="shared" si="72"/>
        <v>0</v>
      </c>
      <c r="L87" s="100">
        <f>SUM(L88:L90)</f>
        <v>0</v>
      </c>
      <c r="M87" s="100">
        <f t="shared" si="73"/>
        <v>0</v>
      </c>
      <c r="N87" s="98">
        <f t="shared" si="83"/>
        <v>15720</v>
      </c>
      <c r="O87" s="100">
        <f>SUM(O88:O90)</f>
        <v>15720</v>
      </c>
      <c r="P87" s="100">
        <f t="shared" si="74"/>
        <v>0</v>
      </c>
      <c r="Q87" s="98">
        <f t="shared" si="83"/>
        <v>6706424.0299999993</v>
      </c>
      <c r="R87" s="100">
        <f>SUM(R88:R90)</f>
        <v>106160.26</v>
      </c>
      <c r="S87" s="100">
        <f>SUM(S88:S90)</f>
        <v>6387788.4699999997</v>
      </c>
      <c r="T87" s="100">
        <f>SUM(T88:T90)</f>
        <v>212475.3</v>
      </c>
      <c r="U87" s="100">
        <f>Q87-R87-S87-T87</f>
        <v>0</v>
      </c>
      <c r="V87" s="98">
        <f t="shared" si="83"/>
        <v>0</v>
      </c>
      <c r="W87" s="100">
        <f t="shared" si="83"/>
        <v>0</v>
      </c>
      <c r="X87" s="100">
        <f t="shared" si="83"/>
        <v>0</v>
      </c>
      <c r="Y87" s="100">
        <f t="shared" si="83"/>
        <v>0</v>
      </c>
      <c r="Z87" s="100">
        <f t="shared" si="83"/>
        <v>0</v>
      </c>
      <c r="AA87" s="100">
        <f t="shared" si="75"/>
        <v>0</v>
      </c>
      <c r="AB87" s="98">
        <f>SUM(AB88:AB90)</f>
        <v>690</v>
      </c>
      <c r="AC87" s="98">
        <f t="shared" ref="AC87:AH87" si="85">SUM(AC88:AC90)</f>
        <v>0</v>
      </c>
      <c r="AD87" s="98">
        <f t="shared" si="85"/>
        <v>0</v>
      </c>
      <c r="AE87" s="98">
        <f t="shared" si="85"/>
        <v>0</v>
      </c>
      <c r="AF87" s="98">
        <f t="shared" si="85"/>
        <v>0</v>
      </c>
      <c r="AG87" s="98">
        <f t="shared" si="85"/>
        <v>6316501.6799999997</v>
      </c>
      <c r="AH87" s="101">
        <f t="shared" si="85"/>
        <v>0</v>
      </c>
      <c r="AI87" s="98">
        <f>SUM(AI88:AI90)</f>
        <v>9450</v>
      </c>
      <c r="AJ87" s="98">
        <f t="shared" ref="AJ87:AO87" si="86">SUM(AJ88:AJ90)</f>
        <v>8750</v>
      </c>
      <c r="AK87" s="98">
        <f t="shared" si="86"/>
        <v>0</v>
      </c>
      <c r="AL87" s="98">
        <f t="shared" si="86"/>
        <v>0</v>
      </c>
      <c r="AM87" s="98">
        <f t="shared" si="86"/>
        <v>8750</v>
      </c>
      <c r="AN87" s="98">
        <f t="shared" si="86"/>
        <v>3006485.33</v>
      </c>
      <c r="AO87" s="101">
        <f t="shared" si="86"/>
        <v>0</v>
      </c>
      <c r="AP87" s="98">
        <f>SUM(AP88:AP90)</f>
        <v>2487.5</v>
      </c>
      <c r="AQ87" s="98">
        <f t="shared" ref="AQ87:AV87" si="87">SUM(AQ88:AQ90)</f>
        <v>2487.5</v>
      </c>
      <c r="AR87" s="98">
        <f t="shared" si="87"/>
        <v>0</v>
      </c>
      <c r="AS87" s="98">
        <f t="shared" si="87"/>
        <v>0</v>
      </c>
      <c r="AT87" s="98">
        <f t="shared" si="87"/>
        <v>2487.5</v>
      </c>
      <c r="AU87" s="98">
        <f t="shared" si="87"/>
        <v>1303451.1300000001</v>
      </c>
      <c r="AV87" s="101">
        <f t="shared" si="87"/>
        <v>0</v>
      </c>
      <c r="AW87" s="98">
        <f>SUM(AW88:AW90)</f>
        <v>0</v>
      </c>
      <c r="AX87" s="98">
        <f t="shared" ref="AX87:BC87" si="88">SUM(AX88:AX90)</f>
        <v>0</v>
      </c>
      <c r="AY87" s="98">
        <f t="shared" si="88"/>
        <v>0</v>
      </c>
      <c r="AZ87" s="98">
        <f t="shared" si="88"/>
        <v>0</v>
      </c>
      <c r="BA87" s="98">
        <f t="shared" si="88"/>
        <v>0</v>
      </c>
      <c r="BB87" s="98">
        <f t="shared" si="88"/>
        <v>1241689.6499999999</v>
      </c>
      <c r="BC87" s="101">
        <f t="shared" si="88"/>
        <v>0</v>
      </c>
    </row>
    <row r="88" spans="1:55">
      <c r="A88" s="80" t="s">
        <v>6</v>
      </c>
      <c r="B88" s="102">
        <v>410</v>
      </c>
      <c r="C88" s="103" t="s">
        <v>146</v>
      </c>
      <c r="D88" s="83">
        <v>0</v>
      </c>
      <c r="E88" s="83">
        <v>0</v>
      </c>
      <c r="F88" s="104">
        <f t="shared" si="71"/>
        <v>0</v>
      </c>
      <c r="G88" s="104">
        <v>0</v>
      </c>
      <c r="H88" s="105">
        <f t="shared" si="84"/>
        <v>0</v>
      </c>
      <c r="I88" s="83">
        <v>0</v>
      </c>
      <c r="J88" s="83"/>
      <c r="K88" s="106">
        <f t="shared" si="72"/>
        <v>0</v>
      </c>
      <c r="L88" s="107">
        <v>0</v>
      </c>
      <c r="M88" s="106">
        <f t="shared" si="73"/>
        <v>0</v>
      </c>
      <c r="N88" s="83"/>
      <c r="O88" s="107">
        <v>0</v>
      </c>
      <c r="P88" s="106">
        <f t="shared" si="74"/>
        <v>0</v>
      </c>
      <c r="Q88" s="83"/>
      <c r="R88" s="106">
        <v>0</v>
      </c>
      <c r="S88" s="106">
        <v>0</v>
      </c>
      <c r="T88" s="106">
        <v>0</v>
      </c>
      <c r="U88" s="106">
        <f t="shared" ref="U88:U90" si="89">Q88-R88-S88-T88</f>
        <v>0</v>
      </c>
      <c r="V88" s="83"/>
      <c r="W88" s="106">
        <v>0</v>
      </c>
      <c r="X88" s="106">
        <v>0</v>
      </c>
      <c r="Y88" s="106">
        <v>0</v>
      </c>
      <c r="Z88" s="106">
        <v>0</v>
      </c>
      <c r="AA88" s="106">
        <f t="shared" si="75"/>
        <v>0</v>
      </c>
      <c r="AB88" s="83">
        <v>0</v>
      </c>
      <c r="AC88" s="83"/>
      <c r="AD88" s="83"/>
      <c r="AE88" s="83"/>
      <c r="AF88" s="83"/>
      <c r="AG88" s="83"/>
      <c r="AH88" s="108"/>
      <c r="AI88" s="83">
        <v>0</v>
      </c>
      <c r="AJ88" s="83">
        <v>0</v>
      </c>
      <c r="AK88" s="83">
        <v>0</v>
      </c>
      <c r="AL88" s="83">
        <v>0</v>
      </c>
      <c r="AM88" s="83">
        <v>0</v>
      </c>
      <c r="AN88" s="83">
        <v>12441.28</v>
      </c>
      <c r="AO88" s="108"/>
      <c r="AP88" s="83"/>
      <c r="AQ88" s="83"/>
      <c r="AR88" s="83"/>
      <c r="AS88" s="83"/>
      <c r="AT88" s="83"/>
      <c r="AU88" s="83">
        <v>0</v>
      </c>
      <c r="AV88" s="108"/>
      <c r="AW88" s="83"/>
      <c r="AX88" s="83"/>
      <c r="AY88" s="83"/>
      <c r="AZ88" s="83"/>
      <c r="BA88" s="83"/>
      <c r="BB88" s="83"/>
      <c r="BC88" s="108"/>
    </row>
    <row r="89" spans="1:55">
      <c r="A89" s="80" t="s">
        <v>6</v>
      </c>
      <c r="B89" s="102">
        <v>411</v>
      </c>
      <c r="C89" s="103" t="s">
        <v>147</v>
      </c>
      <c r="D89" s="83">
        <v>900</v>
      </c>
      <c r="E89" s="83">
        <v>0</v>
      </c>
      <c r="F89" s="104">
        <f t="shared" si="71"/>
        <v>900</v>
      </c>
      <c r="G89" s="104">
        <v>900</v>
      </c>
      <c r="H89" s="105">
        <f t="shared" si="84"/>
        <v>0</v>
      </c>
      <c r="I89" s="83">
        <v>0</v>
      </c>
      <c r="J89" s="83">
        <v>0</v>
      </c>
      <c r="K89" s="106">
        <f t="shared" si="72"/>
        <v>0</v>
      </c>
      <c r="L89" s="107">
        <v>0</v>
      </c>
      <c r="M89" s="106">
        <f t="shared" si="73"/>
        <v>0</v>
      </c>
      <c r="N89" s="83">
        <v>15720</v>
      </c>
      <c r="O89" s="107">
        <v>15720</v>
      </c>
      <c r="P89" s="106">
        <f t="shared" si="74"/>
        <v>0</v>
      </c>
      <c r="Q89" s="83">
        <v>6706424.0299999993</v>
      </c>
      <c r="R89" s="106">
        <v>106160.26</v>
      </c>
      <c r="S89" s="106">
        <v>6387788.4699999997</v>
      </c>
      <c r="T89" s="106">
        <v>212475.3</v>
      </c>
      <c r="U89" s="106">
        <f t="shared" si="89"/>
        <v>0</v>
      </c>
      <c r="V89" s="83"/>
      <c r="W89" s="106">
        <v>0</v>
      </c>
      <c r="X89" s="106">
        <v>0</v>
      </c>
      <c r="Y89" s="106">
        <v>0</v>
      </c>
      <c r="Z89" s="106">
        <v>0</v>
      </c>
      <c r="AA89" s="106">
        <f t="shared" si="75"/>
        <v>0</v>
      </c>
      <c r="AB89" s="83">
        <v>690</v>
      </c>
      <c r="AC89" s="83">
        <v>0</v>
      </c>
      <c r="AD89" s="83">
        <v>0</v>
      </c>
      <c r="AE89" s="83">
        <v>0</v>
      </c>
      <c r="AF89" s="83">
        <v>0</v>
      </c>
      <c r="AG89" s="83">
        <v>6316501.6799999997</v>
      </c>
      <c r="AH89" s="108"/>
      <c r="AI89" s="83">
        <v>9450</v>
      </c>
      <c r="AJ89" s="83">
        <v>8750</v>
      </c>
      <c r="AK89" s="83">
        <v>0</v>
      </c>
      <c r="AL89" s="83">
        <v>0</v>
      </c>
      <c r="AM89" s="83">
        <v>8750</v>
      </c>
      <c r="AN89" s="83">
        <v>657416.54999999993</v>
      </c>
      <c r="AO89" s="108"/>
      <c r="AP89" s="83">
        <v>2487.5</v>
      </c>
      <c r="AQ89" s="83">
        <v>2487.5</v>
      </c>
      <c r="AR89" s="83">
        <v>0</v>
      </c>
      <c r="AS89" s="83">
        <v>0</v>
      </c>
      <c r="AT89" s="83">
        <v>2487.5</v>
      </c>
      <c r="AU89" s="83">
        <v>53944.100000000006</v>
      </c>
      <c r="AV89" s="108"/>
      <c r="AW89" s="83">
        <v>0</v>
      </c>
      <c r="AX89" s="83">
        <v>0</v>
      </c>
      <c r="AY89" s="83">
        <v>0</v>
      </c>
      <c r="AZ89" s="83">
        <v>0</v>
      </c>
      <c r="BA89" s="83">
        <v>0</v>
      </c>
      <c r="BB89" s="83">
        <v>16689.650000000001</v>
      </c>
      <c r="BC89" s="108"/>
    </row>
    <row r="90" spans="1:55">
      <c r="A90" s="80" t="s">
        <v>6</v>
      </c>
      <c r="B90" s="102">
        <v>420</v>
      </c>
      <c r="C90" s="103" t="s">
        <v>148</v>
      </c>
      <c r="D90" s="83">
        <v>0</v>
      </c>
      <c r="E90" s="83">
        <v>0</v>
      </c>
      <c r="F90" s="104">
        <f t="shared" si="71"/>
        <v>0</v>
      </c>
      <c r="G90" s="104">
        <v>0</v>
      </c>
      <c r="H90" s="105">
        <f t="shared" si="84"/>
        <v>0</v>
      </c>
      <c r="I90" s="83">
        <v>0</v>
      </c>
      <c r="J90" s="83"/>
      <c r="K90" s="106">
        <f t="shared" si="72"/>
        <v>0</v>
      </c>
      <c r="L90" s="107">
        <v>0</v>
      </c>
      <c r="M90" s="106">
        <f t="shared" si="73"/>
        <v>0</v>
      </c>
      <c r="N90" s="83"/>
      <c r="O90" s="107">
        <v>0</v>
      </c>
      <c r="P90" s="106">
        <f t="shared" si="74"/>
        <v>0</v>
      </c>
      <c r="Q90" s="83"/>
      <c r="R90" s="106">
        <v>0</v>
      </c>
      <c r="S90" s="106">
        <v>0</v>
      </c>
      <c r="T90" s="106">
        <v>0</v>
      </c>
      <c r="U90" s="106">
        <f t="shared" si="89"/>
        <v>0</v>
      </c>
      <c r="V90" s="83"/>
      <c r="W90" s="106">
        <v>0</v>
      </c>
      <c r="X90" s="106">
        <v>0</v>
      </c>
      <c r="Y90" s="106">
        <v>0</v>
      </c>
      <c r="Z90" s="106">
        <v>0</v>
      </c>
      <c r="AA90" s="106">
        <f t="shared" si="75"/>
        <v>0</v>
      </c>
      <c r="AB90" s="83">
        <v>0</v>
      </c>
      <c r="AC90" s="83"/>
      <c r="AD90" s="83"/>
      <c r="AE90" s="83"/>
      <c r="AF90" s="83"/>
      <c r="AG90" s="83"/>
      <c r="AH90" s="108"/>
      <c r="AI90" s="83">
        <v>0</v>
      </c>
      <c r="AJ90" s="83">
        <v>0</v>
      </c>
      <c r="AK90" s="83">
        <v>0</v>
      </c>
      <c r="AL90" s="83">
        <v>0</v>
      </c>
      <c r="AM90" s="83">
        <v>0</v>
      </c>
      <c r="AN90" s="83">
        <v>2336627.5</v>
      </c>
      <c r="AO90" s="108"/>
      <c r="AP90" s="83">
        <v>0</v>
      </c>
      <c r="AQ90" s="83">
        <v>0</v>
      </c>
      <c r="AR90" s="83">
        <v>0</v>
      </c>
      <c r="AS90" s="83">
        <v>0</v>
      </c>
      <c r="AT90" s="83">
        <v>0</v>
      </c>
      <c r="AU90" s="83">
        <v>1249507.03</v>
      </c>
      <c r="AV90" s="108"/>
      <c r="AW90" s="83">
        <v>0</v>
      </c>
      <c r="AX90" s="83">
        <v>0</v>
      </c>
      <c r="AY90" s="83">
        <v>0</v>
      </c>
      <c r="AZ90" s="83">
        <v>0</v>
      </c>
      <c r="BA90" s="83">
        <v>0</v>
      </c>
      <c r="BB90" s="83">
        <v>1225000</v>
      </c>
      <c r="BC90" s="108"/>
    </row>
    <row r="91" spans="1:55" s="112" customFormat="1">
      <c r="A91" s="109"/>
      <c r="B91" s="84"/>
      <c r="C91" s="103"/>
      <c r="D91" s="110"/>
      <c r="E91" s="110"/>
      <c r="F91" s="104"/>
      <c r="G91" s="104"/>
      <c r="H91" s="105"/>
      <c r="I91" s="110"/>
      <c r="J91" s="110"/>
      <c r="K91" s="106"/>
      <c r="L91" s="107"/>
      <c r="M91" s="106"/>
      <c r="N91" s="110"/>
      <c r="O91" s="107"/>
      <c r="P91" s="106"/>
      <c r="Q91" s="110"/>
      <c r="R91" s="106"/>
      <c r="S91" s="106"/>
      <c r="T91" s="106"/>
      <c r="U91" s="106"/>
      <c r="V91" s="110"/>
      <c r="W91" s="106"/>
      <c r="X91" s="106"/>
      <c r="Y91" s="106"/>
      <c r="Z91" s="106"/>
      <c r="AA91" s="106"/>
      <c r="AB91" s="110"/>
      <c r="AC91" s="110"/>
      <c r="AD91" s="83"/>
      <c r="AE91" s="83"/>
      <c r="AF91" s="83"/>
      <c r="AG91" s="83"/>
      <c r="AH91" s="111"/>
      <c r="AI91" s="83"/>
      <c r="AJ91" s="83"/>
      <c r="AK91" s="83"/>
      <c r="AL91" s="83"/>
      <c r="AM91" s="83"/>
      <c r="AN91" s="83"/>
      <c r="AO91" s="111"/>
      <c r="AP91" s="83"/>
      <c r="AQ91" s="83"/>
      <c r="AR91" s="83"/>
      <c r="AS91" s="83"/>
      <c r="AT91" s="83"/>
      <c r="AU91" s="83"/>
      <c r="AV91" s="111"/>
      <c r="AW91" s="83"/>
      <c r="AX91" s="83"/>
      <c r="AY91" s="83"/>
      <c r="AZ91" s="83"/>
      <c r="BA91" s="83"/>
      <c r="BB91" s="83"/>
      <c r="BC91" s="111"/>
    </row>
    <row r="92" spans="1:55">
      <c r="B92" s="87" t="s">
        <v>233</v>
      </c>
      <c r="C92" s="88"/>
      <c r="D92" s="98">
        <f>SUM(D93)</f>
        <v>0</v>
      </c>
      <c r="E92" s="98">
        <f t="shared" ref="E92:Z92" si="90">SUM(E93)</f>
        <v>0</v>
      </c>
      <c r="F92" s="99">
        <f t="shared" si="71"/>
        <v>0</v>
      </c>
      <c r="G92" s="99">
        <f>SUM(G93)</f>
        <v>0</v>
      </c>
      <c r="H92" s="99">
        <f t="shared" ref="H92:H93" si="91">F92-G92</f>
        <v>0</v>
      </c>
      <c r="I92" s="98">
        <f t="shared" si="90"/>
        <v>0</v>
      </c>
      <c r="J92" s="98">
        <f t="shared" si="90"/>
        <v>0</v>
      </c>
      <c r="K92" s="100">
        <f t="shared" si="72"/>
        <v>0</v>
      </c>
      <c r="L92" s="100">
        <f>SUM(L93)</f>
        <v>0</v>
      </c>
      <c r="M92" s="100">
        <f t="shared" si="73"/>
        <v>0</v>
      </c>
      <c r="N92" s="98">
        <f t="shared" si="90"/>
        <v>546.76</v>
      </c>
      <c r="O92" s="100">
        <f>SUM(O93)</f>
        <v>546.76</v>
      </c>
      <c r="P92" s="100">
        <f t="shared" si="74"/>
        <v>0</v>
      </c>
      <c r="Q92" s="98">
        <f t="shared" si="90"/>
        <v>2076259.8199999998</v>
      </c>
      <c r="R92" s="100">
        <f>SUM(R93)</f>
        <v>710338.24</v>
      </c>
      <c r="S92" s="100">
        <f>SUM(S93)</f>
        <v>1338057.92</v>
      </c>
      <c r="T92" s="100">
        <f>SUM(T93)</f>
        <v>27863.66</v>
      </c>
      <c r="U92" s="100">
        <f>Q92-R92-S92-T92</f>
        <v>-8.3673512563109398E-11</v>
      </c>
      <c r="V92" s="98">
        <f t="shared" si="90"/>
        <v>0</v>
      </c>
      <c r="W92" s="100">
        <f t="shared" si="90"/>
        <v>0</v>
      </c>
      <c r="X92" s="100">
        <f t="shared" si="90"/>
        <v>0</v>
      </c>
      <c r="Y92" s="100">
        <f t="shared" si="90"/>
        <v>0</v>
      </c>
      <c r="Z92" s="100">
        <f t="shared" si="90"/>
        <v>0</v>
      </c>
      <c r="AA92" s="100">
        <f t="shared" si="75"/>
        <v>0</v>
      </c>
      <c r="AB92" s="98">
        <f>SUM(AB93)</f>
        <v>0</v>
      </c>
      <c r="AC92" s="98">
        <f t="shared" ref="AC92:AH92" si="92">SUM(AC93)</f>
        <v>0</v>
      </c>
      <c r="AD92" s="98">
        <f t="shared" si="92"/>
        <v>0</v>
      </c>
      <c r="AE92" s="98">
        <f t="shared" si="92"/>
        <v>0</v>
      </c>
      <c r="AF92" s="98">
        <f t="shared" si="92"/>
        <v>940.07999999999993</v>
      </c>
      <c r="AG92" s="98">
        <f t="shared" si="92"/>
        <v>1350841.5200000003</v>
      </c>
      <c r="AH92" s="101">
        <f t="shared" si="92"/>
        <v>0</v>
      </c>
      <c r="AI92" s="98">
        <f>SUM(AI93)</f>
        <v>0</v>
      </c>
      <c r="AJ92" s="98">
        <f t="shared" ref="AJ92:AO92" si="93">SUM(AJ93)</f>
        <v>0</v>
      </c>
      <c r="AK92" s="98">
        <f t="shared" si="93"/>
        <v>0</v>
      </c>
      <c r="AL92" s="98">
        <f t="shared" si="93"/>
        <v>0</v>
      </c>
      <c r="AM92" s="98">
        <f t="shared" si="93"/>
        <v>468.21</v>
      </c>
      <c r="AN92" s="98">
        <f t="shared" si="93"/>
        <v>1488085.5999999999</v>
      </c>
      <c r="AO92" s="101">
        <f t="shared" si="93"/>
        <v>0</v>
      </c>
      <c r="AP92" s="98">
        <f>SUM(AP93)</f>
        <v>2897.6</v>
      </c>
      <c r="AQ92" s="98">
        <f t="shared" ref="AQ92:AV92" si="94">SUM(AQ93)</f>
        <v>0</v>
      </c>
      <c r="AR92" s="98">
        <f t="shared" si="94"/>
        <v>0</v>
      </c>
      <c r="AS92" s="98">
        <f t="shared" si="94"/>
        <v>0</v>
      </c>
      <c r="AT92" s="98">
        <f t="shared" si="94"/>
        <v>2647.23</v>
      </c>
      <c r="AU92" s="98">
        <f t="shared" si="94"/>
        <v>1852426</v>
      </c>
      <c r="AV92" s="101">
        <f t="shared" si="94"/>
        <v>0</v>
      </c>
      <c r="AW92" s="98">
        <f>SUM(AW93)</f>
        <v>2512</v>
      </c>
      <c r="AX92" s="98">
        <f t="shared" ref="AX92:BC92" si="95">SUM(AX93)</f>
        <v>0</v>
      </c>
      <c r="AY92" s="98">
        <f t="shared" si="95"/>
        <v>0</v>
      </c>
      <c r="AZ92" s="98">
        <f t="shared" si="95"/>
        <v>0</v>
      </c>
      <c r="BA92" s="98">
        <f t="shared" si="95"/>
        <v>1920.77</v>
      </c>
      <c r="BB92" s="98">
        <f t="shared" si="95"/>
        <v>1576529.54</v>
      </c>
      <c r="BC92" s="101">
        <f t="shared" si="95"/>
        <v>0</v>
      </c>
    </row>
    <row r="93" spans="1:55">
      <c r="A93" s="80" t="s">
        <v>6</v>
      </c>
      <c r="B93" s="102">
        <v>401</v>
      </c>
      <c r="C93" s="103" t="s">
        <v>149</v>
      </c>
      <c r="D93" s="83">
        <v>0</v>
      </c>
      <c r="E93" s="83">
        <v>0</v>
      </c>
      <c r="F93" s="104">
        <f t="shared" si="71"/>
        <v>0</v>
      </c>
      <c r="G93" s="104">
        <v>0</v>
      </c>
      <c r="H93" s="105">
        <f t="shared" si="91"/>
        <v>0</v>
      </c>
      <c r="I93" s="83"/>
      <c r="J93" s="83">
        <v>0</v>
      </c>
      <c r="K93" s="106">
        <f t="shared" si="72"/>
        <v>0</v>
      </c>
      <c r="L93" s="107">
        <v>0</v>
      </c>
      <c r="M93" s="106">
        <f t="shared" si="73"/>
        <v>0</v>
      </c>
      <c r="N93" s="83">
        <v>546.76</v>
      </c>
      <c r="O93" s="107">
        <v>546.76</v>
      </c>
      <c r="P93" s="106">
        <f t="shared" si="74"/>
        <v>0</v>
      </c>
      <c r="Q93" s="83">
        <v>2076259.8199999998</v>
      </c>
      <c r="R93" s="106">
        <v>710338.24</v>
      </c>
      <c r="S93" s="106">
        <v>1338057.92</v>
      </c>
      <c r="T93" s="106">
        <v>27863.66</v>
      </c>
      <c r="U93" s="106">
        <f>Q93-R93-S93-T93</f>
        <v>-8.3673512563109398E-11</v>
      </c>
      <c r="V93" s="83"/>
      <c r="W93" s="106">
        <v>0</v>
      </c>
      <c r="X93" s="106">
        <v>0</v>
      </c>
      <c r="Y93" s="106">
        <v>0</v>
      </c>
      <c r="Z93" s="106">
        <v>0</v>
      </c>
      <c r="AA93" s="106">
        <f t="shared" si="75"/>
        <v>0</v>
      </c>
      <c r="AB93" s="83">
        <v>0</v>
      </c>
      <c r="AC93" s="83">
        <v>0</v>
      </c>
      <c r="AD93" s="83"/>
      <c r="AE93" s="83">
        <v>0</v>
      </c>
      <c r="AF93" s="83">
        <v>940.07999999999993</v>
      </c>
      <c r="AG93" s="83">
        <v>1350841.5200000003</v>
      </c>
      <c r="AH93" s="108"/>
      <c r="AI93" s="83">
        <v>0</v>
      </c>
      <c r="AJ93" s="83">
        <v>0</v>
      </c>
      <c r="AK93" s="83">
        <v>0</v>
      </c>
      <c r="AL93" s="83">
        <v>0</v>
      </c>
      <c r="AM93" s="83">
        <v>468.21</v>
      </c>
      <c r="AN93" s="83">
        <v>1488085.5999999999</v>
      </c>
      <c r="AO93" s="108"/>
      <c r="AP93" s="83">
        <v>2897.6</v>
      </c>
      <c r="AQ93" s="83">
        <v>0</v>
      </c>
      <c r="AR93" s="83">
        <v>0</v>
      </c>
      <c r="AS93" s="83">
        <v>0</v>
      </c>
      <c r="AT93" s="83">
        <v>2647.23</v>
      </c>
      <c r="AU93" s="83">
        <v>1852426</v>
      </c>
      <c r="AV93" s="108"/>
      <c r="AW93" s="83">
        <v>2512</v>
      </c>
      <c r="AX93" s="83">
        <v>0</v>
      </c>
      <c r="AY93" s="83">
        <v>0</v>
      </c>
      <c r="AZ93" s="83">
        <v>0</v>
      </c>
      <c r="BA93" s="83">
        <v>1920.77</v>
      </c>
      <c r="BB93" s="83">
        <v>1576529.54</v>
      </c>
      <c r="BC93" s="108"/>
    </row>
    <row r="94" spans="1:55" s="112" customFormat="1">
      <c r="A94" s="109"/>
      <c r="B94" s="84"/>
      <c r="C94" s="103"/>
      <c r="D94" s="110"/>
      <c r="E94" s="110"/>
      <c r="F94" s="104"/>
      <c r="G94" s="104"/>
      <c r="H94" s="105"/>
      <c r="I94" s="110"/>
      <c r="J94" s="110"/>
      <c r="K94" s="106"/>
      <c r="L94" s="107"/>
      <c r="M94" s="106"/>
      <c r="N94" s="110"/>
      <c r="O94" s="107"/>
      <c r="P94" s="106"/>
      <c r="Q94" s="110"/>
      <c r="R94" s="106"/>
      <c r="S94" s="106"/>
      <c r="T94" s="106"/>
      <c r="U94" s="106"/>
      <c r="V94" s="110"/>
      <c r="W94" s="106"/>
      <c r="X94" s="106"/>
      <c r="Y94" s="106"/>
      <c r="Z94" s="106"/>
      <c r="AA94" s="106"/>
      <c r="AB94" s="110"/>
      <c r="AC94" s="110"/>
      <c r="AD94" s="110"/>
      <c r="AE94" s="83"/>
      <c r="AF94" s="83"/>
      <c r="AG94" s="83"/>
      <c r="AH94" s="111"/>
      <c r="AI94" s="83"/>
      <c r="AJ94" s="83"/>
      <c r="AK94" s="83"/>
      <c r="AL94" s="83"/>
      <c r="AM94" s="83"/>
      <c r="AN94" s="83"/>
      <c r="AO94" s="111"/>
      <c r="AP94" s="83"/>
      <c r="AQ94" s="83"/>
      <c r="AR94" s="83"/>
      <c r="AS94" s="83"/>
      <c r="AT94" s="83"/>
      <c r="AU94" s="83"/>
      <c r="AV94" s="111"/>
      <c r="AW94" s="83"/>
      <c r="AX94" s="83"/>
      <c r="AY94" s="83"/>
      <c r="AZ94" s="83"/>
      <c r="BA94" s="83"/>
      <c r="BB94" s="83"/>
      <c r="BC94" s="111"/>
    </row>
    <row r="95" spans="1:55">
      <c r="B95" s="87" t="s">
        <v>234</v>
      </c>
      <c r="C95" s="88"/>
      <c r="D95" s="98">
        <f>SUM(D96)</f>
        <v>2742375.4799999995</v>
      </c>
      <c r="E95" s="98">
        <f t="shared" ref="E95:Z95" si="96">SUM(E96)</f>
        <v>0</v>
      </c>
      <c r="F95" s="99">
        <f t="shared" si="71"/>
        <v>2742375.4799999995</v>
      </c>
      <c r="G95" s="99">
        <f>SUM(G96)</f>
        <v>2742375.48</v>
      </c>
      <c r="H95" s="99">
        <f t="shared" ref="H95:H96" si="97">F95-G95</f>
        <v>0</v>
      </c>
      <c r="I95" s="98">
        <f t="shared" si="96"/>
        <v>0</v>
      </c>
      <c r="J95" s="98">
        <f t="shared" si="96"/>
        <v>691852.2</v>
      </c>
      <c r="K95" s="100">
        <f t="shared" si="72"/>
        <v>691852.2</v>
      </c>
      <c r="L95" s="100">
        <f>SUM(L96)</f>
        <v>691852.2</v>
      </c>
      <c r="M95" s="100">
        <f t="shared" si="73"/>
        <v>0</v>
      </c>
      <c r="N95" s="98">
        <f t="shared" si="96"/>
        <v>0</v>
      </c>
      <c r="O95" s="100">
        <f>SUM(O96)</f>
        <v>0</v>
      </c>
      <c r="P95" s="100">
        <f t="shared" si="74"/>
        <v>0</v>
      </c>
      <c r="Q95" s="98">
        <f t="shared" si="96"/>
        <v>0</v>
      </c>
      <c r="R95" s="100">
        <f>SUM(R96)</f>
        <v>0</v>
      </c>
      <c r="S95" s="100">
        <f>SUM(S96)</f>
        <v>0</v>
      </c>
      <c r="T95" s="100">
        <f>SUM(T96)</f>
        <v>0</v>
      </c>
      <c r="U95" s="100">
        <f>Q95-R95-S95-T95</f>
        <v>0</v>
      </c>
      <c r="V95" s="98">
        <f t="shared" si="96"/>
        <v>0</v>
      </c>
      <c r="W95" s="100">
        <f t="shared" si="96"/>
        <v>0</v>
      </c>
      <c r="X95" s="100">
        <f t="shared" si="96"/>
        <v>0</v>
      </c>
      <c r="Y95" s="100">
        <f t="shared" si="96"/>
        <v>0</v>
      </c>
      <c r="Z95" s="100">
        <f t="shared" si="96"/>
        <v>0</v>
      </c>
      <c r="AA95" s="100">
        <f t="shared" si="75"/>
        <v>0</v>
      </c>
      <c r="AB95" s="98">
        <f>SUM(AB96)</f>
        <v>2753154.79</v>
      </c>
      <c r="AC95" s="98">
        <f t="shared" ref="AC95:AH95" si="98">SUM(AC96)</f>
        <v>0</v>
      </c>
      <c r="AD95" s="98">
        <f t="shared" si="98"/>
        <v>0</v>
      </c>
      <c r="AE95" s="98">
        <f t="shared" si="98"/>
        <v>699633.70999999985</v>
      </c>
      <c r="AF95" s="98">
        <f t="shared" si="98"/>
        <v>0</v>
      </c>
      <c r="AG95" s="98">
        <f t="shared" si="98"/>
        <v>0</v>
      </c>
      <c r="AH95" s="101">
        <f t="shared" si="98"/>
        <v>0</v>
      </c>
      <c r="AI95" s="98">
        <f>SUM(AI96)</f>
        <v>0</v>
      </c>
      <c r="AJ95" s="98">
        <f t="shared" ref="AJ95:AO95" si="99">SUM(AJ96)</f>
        <v>0</v>
      </c>
      <c r="AK95" s="98">
        <f t="shared" si="99"/>
        <v>0</v>
      </c>
      <c r="AL95" s="98">
        <f t="shared" si="99"/>
        <v>0</v>
      </c>
      <c r="AM95" s="98">
        <f t="shared" si="99"/>
        <v>0</v>
      </c>
      <c r="AN95" s="98">
        <f t="shared" si="99"/>
        <v>0</v>
      </c>
      <c r="AO95" s="101">
        <f t="shared" si="99"/>
        <v>0</v>
      </c>
      <c r="AP95" s="98">
        <f>SUM(AP96)</f>
        <v>3043652.540000001</v>
      </c>
      <c r="AQ95" s="98">
        <f t="shared" ref="AQ95:AV95" si="100">SUM(AQ96)</f>
        <v>0</v>
      </c>
      <c r="AR95" s="98">
        <f t="shared" si="100"/>
        <v>0</v>
      </c>
      <c r="AS95" s="98">
        <f t="shared" si="100"/>
        <v>752946.8</v>
      </c>
      <c r="AT95" s="98">
        <f t="shared" si="100"/>
        <v>0</v>
      </c>
      <c r="AU95" s="98">
        <f t="shared" si="100"/>
        <v>0</v>
      </c>
      <c r="AV95" s="101">
        <f t="shared" si="100"/>
        <v>0</v>
      </c>
      <c r="AW95" s="98">
        <f>SUM(AW96)</f>
        <v>2338638.2299999995</v>
      </c>
      <c r="AX95" s="98">
        <f t="shared" ref="AX95:BC95" si="101">SUM(AX96)</f>
        <v>0</v>
      </c>
      <c r="AY95" s="98">
        <f t="shared" si="101"/>
        <v>0</v>
      </c>
      <c r="AZ95" s="98">
        <f t="shared" si="101"/>
        <v>558533.97000000009</v>
      </c>
      <c r="BA95" s="98">
        <f t="shared" si="101"/>
        <v>0</v>
      </c>
      <c r="BB95" s="98">
        <f t="shared" si="101"/>
        <v>0</v>
      </c>
      <c r="BC95" s="101">
        <f t="shared" si="101"/>
        <v>0</v>
      </c>
    </row>
    <row r="96" spans="1:55">
      <c r="A96" s="80" t="s">
        <v>6</v>
      </c>
      <c r="B96" s="102">
        <v>460</v>
      </c>
      <c r="C96" s="103" t="s">
        <v>150</v>
      </c>
      <c r="D96" s="83">
        <v>2742375.4799999995</v>
      </c>
      <c r="E96" s="83">
        <v>0</v>
      </c>
      <c r="F96" s="104">
        <f t="shared" si="71"/>
        <v>2742375.4799999995</v>
      </c>
      <c r="G96" s="104">
        <v>2742375.48</v>
      </c>
      <c r="H96" s="105">
        <f t="shared" si="97"/>
        <v>0</v>
      </c>
      <c r="I96" s="83">
        <v>0</v>
      </c>
      <c r="J96" s="83">
        <v>691852.2</v>
      </c>
      <c r="K96" s="106">
        <f t="shared" si="72"/>
        <v>691852.2</v>
      </c>
      <c r="L96" s="107">
        <v>691852.2</v>
      </c>
      <c r="M96" s="106">
        <f t="shared" si="73"/>
        <v>0</v>
      </c>
      <c r="N96" s="83">
        <v>0</v>
      </c>
      <c r="O96" s="107">
        <v>0</v>
      </c>
      <c r="P96" s="106">
        <f t="shared" si="74"/>
        <v>0</v>
      </c>
      <c r="Q96" s="83">
        <v>0</v>
      </c>
      <c r="R96" s="106">
        <v>0</v>
      </c>
      <c r="S96" s="106">
        <v>0</v>
      </c>
      <c r="T96" s="106">
        <v>0</v>
      </c>
      <c r="U96" s="106">
        <f>Q96-R96-S96-T96</f>
        <v>0</v>
      </c>
      <c r="V96" s="83"/>
      <c r="W96" s="106">
        <v>0</v>
      </c>
      <c r="X96" s="106">
        <v>0</v>
      </c>
      <c r="Y96" s="106">
        <v>0</v>
      </c>
      <c r="Z96" s="106">
        <v>0</v>
      </c>
      <c r="AA96" s="106">
        <f t="shared" si="75"/>
        <v>0</v>
      </c>
      <c r="AB96" s="83">
        <v>2753154.79</v>
      </c>
      <c r="AC96" s="83">
        <v>0</v>
      </c>
      <c r="AD96" s="83">
        <v>0</v>
      </c>
      <c r="AE96" s="83">
        <v>699633.70999999985</v>
      </c>
      <c r="AF96" s="83">
        <v>0</v>
      </c>
      <c r="AG96" s="83">
        <v>0</v>
      </c>
      <c r="AH96" s="108"/>
      <c r="AI96" s="83"/>
      <c r="AJ96" s="83"/>
      <c r="AK96" s="83"/>
      <c r="AL96" s="83"/>
      <c r="AM96" s="83"/>
      <c r="AN96" s="83"/>
      <c r="AO96" s="108"/>
      <c r="AP96" s="83">
        <v>3043652.540000001</v>
      </c>
      <c r="AQ96" s="83">
        <v>0</v>
      </c>
      <c r="AR96" s="83">
        <v>0</v>
      </c>
      <c r="AS96" s="83">
        <v>752946.8</v>
      </c>
      <c r="AT96" s="83">
        <v>0</v>
      </c>
      <c r="AU96" s="83">
        <v>0</v>
      </c>
      <c r="AV96" s="108"/>
      <c r="AW96" s="83">
        <v>2338638.2299999995</v>
      </c>
      <c r="AX96" s="83">
        <v>0</v>
      </c>
      <c r="AY96" s="83">
        <v>0</v>
      </c>
      <c r="AZ96" s="83">
        <v>558533.97000000009</v>
      </c>
      <c r="BA96" s="83">
        <v>0</v>
      </c>
      <c r="BB96" s="83">
        <v>0</v>
      </c>
      <c r="BC96" s="108"/>
    </row>
    <row r="97" spans="1:55" s="112" customFormat="1">
      <c r="A97" s="109"/>
      <c r="B97" s="84"/>
      <c r="C97" s="103"/>
      <c r="D97" s="110"/>
      <c r="E97" s="110"/>
      <c r="F97" s="104"/>
      <c r="G97" s="104"/>
      <c r="H97" s="105"/>
      <c r="I97" s="83">
        <v>0</v>
      </c>
      <c r="J97" s="110"/>
      <c r="K97" s="106"/>
      <c r="L97" s="107"/>
      <c r="M97" s="106"/>
      <c r="N97" s="110"/>
      <c r="O97" s="107"/>
      <c r="P97" s="106"/>
      <c r="Q97" s="110"/>
      <c r="R97" s="106"/>
      <c r="S97" s="106"/>
      <c r="T97" s="106"/>
      <c r="U97" s="106"/>
      <c r="V97" s="110"/>
      <c r="W97" s="106"/>
      <c r="X97" s="106"/>
      <c r="Y97" s="106"/>
      <c r="Z97" s="106"/>
      <c r="AA97" s="106"/>
      <c r="AB97" s="110"/>
      <c r="AC97" s="110"/>
      <c r="AD97" s="83"/>
      <c r="AE97" s="83"/>
      <c r="AF97" s="83"/>
      <c r="AG97" s="83"/>
      <c r="AH97" s="111"/>
      <c r="AI97" s="83"/>
      <c r="AJ97" s="83"/>
      <c r="AK97" s="83"/>
      <c r="AL97" s="83"/>
      <c r="AM97" s="83"/>
      <c r="AN97" s="83"/>
      <c r="AO97" s="111"/>
      <c r="AP97" s="83"/>
      <c r="AQ97" s="83"/>
      <c r="AR97" s="83"/>
      <c r="AS97" s="83"/>
      <c r="AT97" s="83"/>
      <c r="AU97" s="83"/>
      <c r="AV97" s="111"/>
      <c r="AW97" s="83"/>
      <c r="AX97" s="83"/>
      <c r="AY97" s="83"/>
      <c r="AZ97" s="83"/>
      <c r="BA97" s="83"/>
      <c r="BB97" s="83"/>
      <c r="BC97" s="111"/>
    </row>
    <row r="98" spans="1:55">
      <c r="B98" s="87" t="s">
        <v>235</v>
      </c>
      <c r="C98" s="88"/>
      <c r="D98" s="98">
        <f>SUM(D99:D108)</f>
        <v>875408.7300000001</v>
      </c>
      <c r="E98" s="98">
        <f t="shared" ref="E98:Z98" si="102">SUM(E99:E108)</f>
        <v>903463.96000000008</v>
      </c>
      <c r="F98" s="99">
        <f t="shared" si="71"/>
        <v>1778872.6900000002</v>
      </c>
      <c r="G98" s="99">
        <f>SUM(G99:G108)</f>
        <v>1781200.9800000002</v>
      </c>
      <c r="H98" s="99">
        <f t="shared" ref="H98:H108" si="103">F98-G98</f>
        <v>-2328.2900000000373</v>
      </c>
      <c r="I98" s="98">
        <f>SUM(I99:I108)</f>
        <v>128012.04999999999</v>
      </c>
      <c r="J98" s="98">
        <f t="shared" si="102"/>
        <v>168902.01999999993</v>
      </c>
      <c r="K98" s="100">
        <f t="shared" si="72"/>
        <v>296914.06999999995</v>
      </c>
      <c r="L98" s="100">
        <f>SUM(L99:L108)</f>
        <v>296914.07</v>
      </c>
      <c r="M98" s="100">
        <f t="shared" si="73"/>
        <v>0</v>
      </c>
      <c r="N98" s="98">
        <f t="shared" si="102"/>
        <v>292757593.73000014</v>
      </c>
      <c r="O98" s="100">
        <f>SUM(O99:O108)</f>
        <v>293360834.55000001</v>
      </c>
      <c r="P98" s="100">
        <f t="shared" si="74"/>
        <v>-603240.81999987364</v>
      </c>
      <c r="Q98" s="98">
        <f t="shared" si="102"/>
        <v>23604982.660000004</v>
      </c>
      <c r="R98" s="100">
        <f>SUM(R99:R108)</f>
        <v>19742139.18</v>
      </c>
      <c r="S98" s="100">
        <f>SUM(S99:S108)</f>
        <v>1809495.3800000004</v>
      </c>
      <c r="T98" s="100">
        <f>SUM(T99:T108)</f>
        <v>2065908.48</v>
      </c>
      <c r="U98" s="100">
        <f>Q98-R98-S98-T98</f>
        <v>-12560.379999996163</v>
      </c>
      <c r="V98" s="98">
        <f t="shared" si="102"/>
        <v>227901411.59</v>
      </c>
      <c r="W98" s="100">
        <f t="shared" si="102"/>
        <v>0</v>
      </c>
      <c r="X98" s="100">
        <f t="shared" si="102"/>
        <v>0</v>
      </c>
      <c r="Y98" s="100">
        <f t="shared" si="102"/>
        <v>0</v>
      </c>
      <c r="Z98" s="100">
        <f t="shared" si="102"/>
        <v>0</v>
      </c>
      <c r="AA98" s="100">
        <f t="shared" si="75"/>
        <v>227901411.59</v>
      </c>
      <c r="AB98" s="98">
        <f>SUM(AB99:AB108)</f>
        <v>872547.56</v>
      </c>
      <c r="AC98" s="98">
        <f t="shared" ref="AC98" si="104">SUM(AC99:AC108)</f>
        <v>913380.34999999986</v>
      </c>
      <c r="AD98" s="98">
        <f>SUM(AD99:AD108)</f>
        <v>128153.78999999998</v>
      </c>
      <c r="AE98" s="98">
        <f t="shared" ref="AE98:AF98" si="105">SUM(AE99:AE108)</f>
        <v>197293.88</v>
      </c>
      <c r="AF98" s="98">
        <f t="shared" si="105"/>
        <v>314077854.52000016</v>
      </c>
      <c r="AG98" s="98">
        <f>SUM(AG99:AG108)</f>
        <v>28159389.519999981</v>
      </c>
      <c r="AH98" s="101">
        <f t="shared" ref="AH98" si="106">SUM(AH99:AH108)</f>
        <v>272514566.75999999</v>
      </c>
      <c r="AI98" s="98">
        <f>SUM(AI99:AI108)</f>
        <v>685711.2799999998</v>
      </c>
      <c r="AJ98" s="98">
        <f t="shared" ref="AJ98" si="107">SUM(AJ99:AJ108)</f>
        <v>754678.26000000024</v>
      </c>
      <c r="AK98" s="98">
        <f>SUM(AK99:AK108)</f>
        <v>60597.210000000006</v>
      </c>
      <c r="AL98" s="98">
        <f t="shared" ref="AL98:AM98" si="108">SUM(AL99:AL108)</f>
        <v>87338.819999999978</v>
      </c>
      <c r="AM98" s="98">
        <f t="shared" si="108"/>
        <v>352475743.7299999</v>
      </c>
      <c r="AN98" s="98">
        <f>SUM(AN99:AN108)</f>
        <v>29157828.049999997</v>
      </c>
      <c r="AO98" s="101">
        <f t="shared" ref="AO98" si="109">SUM(AO99:AO108)</f>
        <v>373850974.03999996</v>
      </c>
      <c r="AP98" s="98">
        <f>SUM(AP99:AP108)</f>
        <v>770202.72</v>
      </c>
      <c r="AQ98" s="98">
        <f t="shared" ref="AQ98" si="110">SUM(AQ99:AQ108)</f>
        <v>836934.44000000006</v>
      </c>
      <c r="AR98" s="98">
        <f>SUM(AR99:AR108)</f>
        <v>184156.48000000004</v>
      </c>
      <c r="AS98" s="98">
        <f t="shared" ref="AS98:AT98" si="111">SUM(AS99:AS108)</f>
        <v>51154.06</v>
      </c>
      <c r="AT98" s="98">
        <f t="shared" si="111"/>
        <v>357888104.88999963</v>
      </c>
      <c r="AU98" s="98">
        <f>SUM(AU99:AU108)</f>
        <v>32182264.279999983</v>
      </c>
      <c r="AV98" s="101">
        <f t="shared" ref="AV98" si="112">SUM(AV99:AV108)</f>
        <v>369412273.56999999</v>
      </c>
      <c r="AW98" s="98">
        <f>SUM(AW99:AW108)</f>
        <v>770032.60999999987</v>
      </c>
      <c r="AX98" s="98">
        <f t="shared" ref="AX98" si="113">SUM(AX99:AX108)</f>
        <v>2443127.8600000003</v>
      </c>
      <c r="AY98" s="98">
        <f>SUM(AY99:AY108)</f>
        <v>1189596.2999999998</v>
      </c>
      <c r="AZ98" s="98">
        <f t="shared" ref="AZ98:BA98" si="114">SUM(AZ99:AZ108)</f>
        <v>22727.649999999994</v>
      </c>
      <c r="BA98" s="98">
        <f t="shared" si="114"/>
        <v>285462237.08000034</v>
      </c>
      <c r="BB98" s="98">
        <f>SUM(BB99:BB108)</f>
        <v>25127729.700000018</v>
      </c>
      <c r="BC98" s="101">
        <f t="shared" ref="BC98" si="115">SUM(BC99:BC108)</f>
        <v>349701884.90999997</v>
      </c>
    </row>
    <row r="99" spans="1:55">
      <c r="A99" s="80" t="s">
        <v>6</v>
      </c>
      <c r="B99" s="102">
        <v>451</v>
      </c>
      <c r="C99" s="103" t="s">
        <v>151</v>
      </c>
      <c r="D99" s="83">
        <v>0</v>
      </c>
      <c r="E99" s="83">
        <v>0</v>
      </c>
      <c r="F99" s="104">
        <f t="shared" si="71"/>
        <v>0</v>
      </c>
      <c r="G99" s="104">
        <v>0</v>
      </c>
      <c r="H99" s="105">
        <f t="shared" si="103"/>
        <v>0</v>
      </c>
      <c r="I99" s="83">
        <v>0</v>
      </c>
      <c r="J99" s="83">
        <v>0</v>
      </c>
      <c r="K99" s="106">
        <f t="shared" si="72"/>
        <v>0</v>
      </c>
      <c r="L99" s="107">
        <v>0</v>
      </c>
      <c r="M99" s="106">
        <f t="shared" si="73"/>
        <v>0</v>
      </c>
      <c r="N99" s="83">
        <v>52170774.95000004</v>
      </c>
      <c r="O99" s="107">
        <v>52278380.109999999</v>
      </c>
      <c r="P99" s="106">
        <f t="shared" si="74"/>
        <v>-107605.15999995917</v>
      </c>
      <c r="Q99" s="83">
        <v>647168.47</v>
      </c>
      <c r="R99" s="106">
        <v>509657.3</v>
      </c>
      <c r="S99" s="106">
        <v>14347.82</v>
      </c>
      <c r="T99" s="106">
        <v>123529.16</v>
      </c>
      <c r="U99" s="106">
        <f t="shared" ref="U99:U108" si="116">Q99-R99-S99-T99</f>
        <v>-365.81000000002678</v>
      </c>
      <c r="V99" s="83"/>
      <c r="W99" s="106">
        <v>0</v>
      </c>
      <c r="X99" s="106">
        <v>0</v>
      </c>
      <c r="Y99" s="106">
        <v>0</v>
      </c>
      <c r="Z99" s="106">
        <v>0</v>
      </c>
      <c r="AA99" s="106">
        <f t="shared" si="75"/>
        <v>0</v>
      </c>
      <c r="AB99" s="83">
        <v>0</v>
      </c>
      <c r="AC99" s="83">
        <v>0</v>
      </c>
      <c r="AD99" s="83">
        <v>0</v>
      </c>
      <c r="AE99" s="83">
        <v>0</v>
      </c>
      <c r="AF99" s="83">
        <v>55965119.119999975</v>
      </c>
      <c r="AG99" s="83">
        <v>435061.21999999991</v>
      </c>
      <c r="AH99" s="108"/>
      <c r="AI99" s="83">
        <v>0</v>
      </c>
      <c r="AJ99" s="83">
        <v>0</v>
      </c>
      <c r="AK99" s="83">
        <v>0</v>
      </c>
      <c r="AL99" s="83">
        <v>0</v>
      </c>
      <c r="AM99" s="83">
        <v>62853364.689999953</v>
      </c>
      <c r="AN99" s="83">
        <v>352836.35000000003</v>
      </c>
      <c r="AO99" s="108"/>
      <c r="AP99" s="83">
        <v>0</v>
      </c>
      <c r="AQ99" s="83">
        <v>0</v>
      </c>
      <c r="AR99" s="83">
        <v>0</v>
      </c>
      <c r="AS99" s="83">
        <v>0</v>
      </c>
      <c r="AT99" s="83">
        <v>63817666.600000001</v>
      </c>
      <c r="AU99" s="83">
        <v>508543.97000000009</v>
      </c>
      <c r="AV99" s="108"/>
      <c r="AW99" s="83">
        <v>0</v>
      </c>
      <c r="AX99" s="83">
        <v>0</v>
      </c>
      <c r="AY99" s="83">
        <v>0</v>
      </c>
      <c r="AZ99" s="83">
        <v>0</v>
      </c>
      <c r="BA99" s="83">
        <v>50911573.949999958</v>
      </c>
      <c r="BB99" s="83">
        <v>454339.26999999996</v>
      </c>
      <c r="BC99" s="108"/>
    </row>
    <row r="100" spans="1:55">
      <c r="A100" s="80" t="s">
        <v>6</v>
      </c>
      <c r="B100" s="102">
        <v>452</v>
      </c>
      <c r="C100" s="103" t="s">
        <v>152</v>
      </c>
      <c r="D100" s="83">
        <v>0</v>
      </c>
      <c r="E100" s="83">
        <v>0</v>
      </c>
      <c r="F100" s="104">
        <f t="shared" si="71"/>
        <v>0</v>
      </c>
      <c r="G100" s="104">
        <v>0</v>
      </c>
      <c r="H100" s="105">
        <f t="shared" si="103"/>
        <v>0</v>
      </c>
      <c r="I100" s="83">
        <v>0</v>
      </c>
      <c r="J100" s="83">
        <v>0</v>
      </c>
      <c r="K100" s="106">
        <f t="shared" si="72"/>
        <v>0</v>
      </c>
      <c r="L100" s="107">
        <v>0</v>
      </c>
      <c r="M100" s="106">
        <f t="shared" si="73"/>
        <v>0</v>
      </c>
      <c r="N100" s="83">
        <v>240301747.31000006</v>
      </c>
      <c r="O100" s="107">
        <v>240797382.97</v>
      </c>
      <c r="P100" s="106">
        <f t="shared" si="74"/>
        <v>-495635.65999993682</v>
      </c>
      <c r="Q100" s="83">
        <v>3827843.15</v>
      </c>
      <c r="R100" s="106">
        <v>3019089.74</v>
      </c>
      <c r="S100" s="106">
        <v>85579.6</v>
      </c>
      <c r="T100" s="106">
        <v>725425.03</v>
      </c>
      <c r="U100" s="106">
        <f t="shared" si="116"/>
        <v>-2251.2200000003213</v>
      </c>
      <c r="V100" s="83"/>
      <c r="W100" s="106">
        <v>0</v>
      </c>
      <c r="X100" s="106">
        <v>0</v>
      </c>
      <c r="Y100" s="106">
        <v>0</v>
      </c>
      <c r="Z100" s="106">
        <v>0</v>
      </c>
      <c r="AA100" s="106">
        <f t="shared" si="75"/>
        <v>0</v>
      </c>
      <c r="AB100" s="83">
        <v>0</v>
      </c>
      <c r="AC100" s="83">
        <v>0</v>
      </c>
      <c r="AD100" s="83">
        <v>0</v>
      </c>
      <c r="AE100" s="83">
        <v>0</v>
      </c>
      <c r="AF100" s="83">
        <v>257778735.64000019</v>
      </c>
      <c r="AG100" s="83">
        <v>2507973.4800000004</v>
      </c>
      <c r="AH100" s="108"/>
      <c r="AI100" s="83">
        <v>0</v>
      </c>
      <c r="AJ100" s="83">
        <v>0</v>
      </c>
      <c r="AK100" s="83">
        <v>0</v>
      </c>
      <c r="AL100" s="83">
        <v>0</v>
      </c>
      <c r="AM100" s="83">
        <v>289506399.53999996</v>
      </c>
      <c r="AN100" s="83">
        <v>2046760.6699999997</v>
      </c>
      <c r="AO100" s="108"/>
      <c r="AP100" s="83">
        <v>0</v>
      </c>
      <c r="AQ100" s="83">
        <v>0</v>
      </c>
      <c r="AR100" s="83">
        <v>0</v>
      </c>
      <c r="AS100" s="83">
        <v>0</v>
      </c>
      <c r="AT100" s="83">
        <v>293948319.93999958</v>
      </c>
      <c r="AU100" s="83">
        <v>2800321.9699999997</v>
      </c>
      <c r="AV100" s="108"/>
      <c r="AW100" s="83">
        <v>0</v>
      </c>
      <c r="AX100" s="83">
        <v>0</v>
      </c>
      <c r="AY100" s="83">
        <v>0</v>
      </c>
      <c r="AZ100" s="83">
        <v>0</v>
      </c>
      <c r="BA100" s="83">
        <v>234503531.94000036</v>
      </c>
      <c r="BB100" s="83">
        <v>2615379.7599999993</v>
      </c>
      <c r="BC100" s="108"/>
    </row>
    <row r="101" spans="1:55">
      <c r="A101" s="80" t="s">
        <v>6</v>
      </c>
      <c r="B101" s="102">
        <v>454</v>
      </c>
      <c r="C101" s="103" t="s">
        <v>153</v>
      </c>
      <c r="D101" s="83">
        <v>563729.09000000032</v>
      </c>
      <c r="E101" s="83">
        <v>574659.27000000014</v>
      </c>
      <c r="F101" s="104">
        <f t="shared" si="71"/>
        <v>1138388.3600000003</v>
      </c>
      <c r="G101" s="104">
        <v>1138388.3600000001</v>
      </c>
      <c r="H101" s="105">
        <f t="shared" si="103"/>
        <v>0</v>
      </c>
      <c r="I101" s="83">
        <v>1807.8</v>
      </c>
      <c r="J101" s="83">
        <v>39819.919999999998</v>
      </c>
      <c r="K101" s="106">
        <f t="shared" si="72"/>
        <v>41627.72</v>
      </c>
      <c r="L101" s="107">
        <v>41627.72</v>
      </c>
      <c r="M101" s="106">
        <f t="shared" si="73"/>
        <v>0</v>
      </c>
      <c r="N101" s="83">
        <v>18649.919999999998</v>
      </c>
      <c r="O101" s="107">
        <v>18649.919999999998</v>
      </c>
      <c r="P101" s="106">
        <f t="shared" si="74"/>
        <v>0</v>
      </c>
      <c r="Q101" s="83">
        <v>861038.47000000009</v>
      </c>
      <c r="R101" s="106">
        <v>42398.74</v>
      </c>
      <c r="S101" s="106">
        <v>638509.17000000004</v>
      </c>
      <c r="T101" s="106">
        <v>182991.08</v>
      </c>
      <c r="U101" s="106">
        <f t="shared" si="116"/>
        <v>-2860.5199999999313</v>
      </c>
      <c r="V101" s="83"/>
      <c r="W101" s="106">
        <v>0</v>
      </c>
      <c r="X101" s="106">
        <v>0</v>
      </c>
      <c r="Y101" s="106">
        <v>0</v>
      </c>
      <c r="Z101" s="106">
        <v>0</v>
      </c>
      <c r="AA101" s="106">
        <f t="shared" si="75"/>
        <v>0</v>
      </c>
      <c r="AB101" s="83">
        <v>567835.4800000001</v>
      </c>
      <c r="AC101" s="83">
        <v>618668.68999999983</v>
      </c>
      <c r="AD101" s="83">
        <v>1869.07</v>
      </c>
      <c r="AE101" s="83">
        <v>41367.890000000007</v>
      </c>
      <c r="AF101" s="83">
        <v>21611.629999999997</v>
      </c>
      <c r="AG101" s="83">
        <v>1090514.3500000001</v>
      </c>
      <c r="AH101" s="108"/>
      <c r="AI101" s="83">
        <v>626740.09999999986</v>
      </c>
      <c r="AJ101" s="83">
        <v>686491.61000000022</v>
      </c>
      <c r="AK101" s="83">
        <v>2051.0299999999997</v>
      </c>
      <c r="AL101" s="83">
        <v>43078.549999999996</v>
      </c>
      <c r="AM101" s="83">
        <v>36164.01999999999</v>
      </c>
      <c r="AN101" s="83">
        <v>974723.83</v>
      </c>
      <c r="AO101" s="108"/>
      <c r="AP101" s="83">
        <v>705313.59000000008</v>
      </c>
      <c r="AQ101" s="83">
        <v>719816.06</v>
      </c>
      <c r="AR101" s="83">
        <v>656.48</v>
      </c>
      <c r="AS101" s="83">
        <v>1312.8000000000002</v>
      </c>
      <c r="AT101" s="83">
        <v>27335.54</v>
      </c>
      <c r="AU101" s="83">
        <v>997447.43999999983</v>
      </c>
      <c r="AV101" s="108"/>
      <c r="AW101" s="83">
        <v>706399.7699999999</v>
      </c>
      <c r="AX101" s="83">
        <v>847732.7</v>
      </c>
      <c r="AY101" s="83">
        <v>679.5</v>
      </c>
      <c r="AZ101" s="83">
        <v>963.51</v>
      </c>
      <c r="BA101" s="83">
        <v>18864.53</v>
      </c>
      <c r="BB101" s="83">
        <v>1473980.42</v>
      </c>
      <c r="BC101" s="108"/>
    </row>
    <row r="102" spans="1:55">
      <c r="A102" s="80" t="s">
        <v>6</v>
      </c>
      <c r="B102" s="102">
        <v>455</v>
      </c>
      <c r="C102" s="103" t="s">
        <v>154</v>
      </c>
      <c r="D102" s="83">
        <v>0</v>
      </c>
      <c r="E102" s="83">
        <v>0</v>
      </c>
      <c r="F102" s="104">
        <f t="shared" si="71"/>
        <v>0</v>
      </c>
      <c r="G102" s="104">
        <v>0</v>
      </c>
      <c r="H102" s="105">
        <f t="shared" si="103"/>
        <v>0</v>
      </c>
      <c r="I102" s="83">
        <v>0</v>
      </c>
      <c r="J102" s="83">
        <v>0</v>
      </c>
      <c r="K102" s="106">
        <f t="shared" si="72"/>
        <v>0</v>
      </c>
      <c r="L102" s="107">
        <v>0</v>
      </c>
      <c r="M102" s="106">
        <f t="shared" si="73"/>
        <v>0</v>
      </c>
      <c r="N102" s="83">
        <v>0</v>
      </c>
      <c r="O102" s="107">
        <v>0</v>
      </c>
      <c r="P102" s="106">
        <f t="shared" si="74"/>
        <v>0</v>
      </c>
      <c r="Q102" s="83">
        <v>373041.57</v>
      </c>
      <c r="R102" s="106">
        <v>0</v>
      </c>
      <c r="S102" s="106">
        <v>372844.86</v>
      </c>
      <c r="T102" s="106">
        <v>196.71</v>
      </c>
      <c r="U102" s="106">
        <f t="shared" si="116"/>
        <v>2.0946799850207753E-11</v>
      </c>
      <c r="V102" s="83"/>
      <c r="W102" s="106">
        <v>0</v>
      </c>
      <c r="X102" s="106">
        <v>0</v>
      </c>
      <c r="Y102" s="106">
        <v>0</v>
      </c>
      <c r="Z102" s="106">
        <v>0</v>
      </c>
      <c r="AA102" s="106">
        <f t="shared" si="75"/>
        <v>0</v>
      </c>
      <c r="AB102" s="83">
        <v>0</v>
      </c>
      <c r="AC102" s="83">
        <v>0</v>
      </c>
      <c r="AD102" s="83">
        <v>0</v>
      </c>
      <c r="AE102" s="83">
        <v>0</v>
      </c>
      <c r="AF102" s="83">
        <v>0</v>
      </c>
      <c r="AG102" s="83">
        <v>509483.9</v>
      </c>
      <c r="AH102" s="108"/>
      <c r="AI102" s="83">
        <v>0</v>
      </c>
      <c r="AJ102" s="83">
        <v>0</v>
      </c>
      <c r="AK102" s="83">
        <v>0</v>
      </c>
      <c r="AL102" s="83">
        <v>0</v>
      </c>
      <c r="AM102" s="83">
        <v>0</v>
      </c>
      <c r="AN102" s="83">
        <v>443035.02</v>
      </c>
      <c r="AO102" s="108"/>
      <c r="AP102" s="83">
        <v>17138.559999999994</v>
      </c>
      <c r="AQ102" s="83">
        <v>55228.199999999975</v>
      </c>
      <c r="AR102" s="83">
        <v>56331.080000000009</v>
      </c>
      <c r="AS102" s="83">
        <v>9175.8499999999967</v>
      </c>
      <c r="AT102" s="83">
        <v>29649.389999999989</v>
      </c>
      <c r="AU102" s="83">
        <v>256962.05000000005</v>
      </c>
      <c r="AV102" s="108"/>
      <c r="AW102" s="83">
        <v>0</v>
      </c>
      <c r="AX102" s="83">
        <v>18</v>
      </c>
      <c r="AY102" s="83">
        <v>0</v>
      </c>
      <c r="AZ102" s="83">
        <v>0</v>
      </c>
      <c r="BA102" s="83">
        <v>0</v>
      </c>
      <c r="BB102" s="83">
        <v>323696.88999999996</v>
      </c>
      <c r="BC102" s="108"/>
    </row>
    <row r="103" spans="1:55">
      <c r="A103" s="80" t="s">
        <v>6</v>
      </c>
      <c r="B103" s="102">
        <v>456</v>
      </c>
      <c r="C103" s="103" t="s">
        <v>155</v>
      </c>
      <c r="D103" s="83">
        <v>84174.719999999943</v>
      </c>
      <c r="E103" s="83">
        <v>104348.07000000002</v>
      </c>
      <c r="F103" s="104">
        <f t="shared" si="71"/>
        <v>188522.78999999998</v>
      </c>
      <c r="G103" s="104">
        <v>188522.79</v>
      </c>
      <c r="H103" s="105">
        <f t="shared" si="103"/>
        <v>0</v>
      </c>
      <c r="I103" s="83">
        <v>70189.19</v>
      </c>
      <c r="J103" s="83">
        <v>39082.719999999994</v>
      </c>
      <c r="K103" s="106">
        <f t="shared" si="72"/>
        <v>109271.91</v>
      </c>
      <c r="L103" s="107">
        <v>109271.91</v>
      </c>
      <c r="M103" s="106">
        <f t="shared" si="73"/>
        <v>0</v>
      </c>
      <c r="N103" s="83">
        <v>56226.179999999993</v>
      </c>
      <c r="O103" s="107">
        <v>56226.18</v>
      </c>
      <c r="P103" s="106">
        <f t="shared" si="74"/>
        <v>0</v>
      </c>
      <c r="Q103" s="83">
        <v>1204772.3600000006</v>
      </c>
      <c r="R103" s="106">
        <v>325019.05</v>
      </c>
      <c r="S103" s="106">
        <v>305583.58</v>
      </c>
      <c r="T103" s="106">
        <v>574188.68999999994</v>
      </c>
      <c r="U103" s="106">
        <f t="shared" si="116"/>
        <v>-18.959999999497086</v>
      </c>
      <c r="V103" s="83"/>
      <c r="W103" s="106">
        <v>0</v>
      </c>
      <c r="X103" s="106">
        <v>0</v>
      </c>
      <c r="Y103" s="106">
        <v>0</v>
      </c>
      <c r="Z103" s="106">
        <v>0</v>
      </c>
      <c r="AA103" s="106">
        <f t="shared" si="75"/>
        <v>0</v>
      </c>
      <c r="AB103" s="83">
        <v>75212.410000000033</v>
      </c>
      <c r="AC103" s="83">
        <v>67236.040000000008</v>
      </c>
      <c r="AD103" s="83">
        <v>66417.490000000005</v>
      </c>
      <c r="AE103" s="83">
        <v>55557.039999999979</v>
      </c>
      <c r="AF103" s="83">
        <v>72685.900000000023</v>
      </c>
      <c r="AG103" s="83">
        <v>694703.92000000016</v>
      </c>
      <c r="AH103" s="108"/>
      <c r="AI103" s="83">
        <v>58971.179999999964</v>
      </c>
      <c r="AJ103" s="83">
        <v>68186.650000000009</v>
      </c>
      <c r="AK103" s="83">
        <v>58546.180000000008</v>
      </c>
      <c r="AL103" s="83">
        <v>44260.26999999999</v>
      </c>
      <c r="AM103" s="83">
        <v>79815.479999999967</v>
      </c>
      <c r="AN103" s="83">
        <v>901543.71</v>
      </c>
      <c r="AO103" s="108"/>
      <c r="AP103" s="83">
        <v>47750.569999999992</v>
      </c>
      <c r="AQ103" s="83">
        <v>61890.180000000015</v>
      </c>
      <c r="AR103" s="83">
        <v>127168.92000000003</v>
      </c>
      <c r="AS103" s="83">
        <v>40665.409999999996</v>
      </c>
      <c r="AT103" s="83">
        <v>65133.42</v>
      </c>
      <c r="AU103" s="83">
        <v>933364.76999999979</v>
      </c>
      <c r="AV103" s="108"/>
      <c r="AW103" s="83">
        <v>63632.839999999982</v>
      </c>
      <c r="AX103" s="83">
        <v>1595377.1600000004</v>
      </c>
      <c r="AY103" s="83">
        <v>1188916.7999999998</v>
      </c>
      <c r="AZ103" s="83">
        <v>21764.139999999996</v>
      </c>
      <c r="BA103" s="83">
        <v>28266.66</v>
      </c>
      <c r="BB103" s="83">
        <v>745697.8</v>
      </c>
      <c r="BC103" s="108"/>
    </row>
    <row r="104" spans="1:55">
      <c r="A104" s="80" t="s">
        <v>6</v>
      </c>
      <c r="B104" s="102">
        <v>457</v>
      </c>
      <c r="C104" s="103" t="s">
        <v>156</v>
      </c>
      <c r="D104" s="83">
        <v>227504.91999999978</v>
      </c>
      <c r="E104" s="83">
        <v>224456.61999999988</v>
      </c>
      <c r="F104" s="104">
        <f t="shared" si="71"/>
        <v>451961.53999999969</v>
      </c>
      <c r="G104" s="104">
        <v>454289.83</v>
      </c>
      <c r="H104" s="105">
        <f t="shared" si="103"/>
        <v>-2328.2900000003283</v>
      </c>
      <c r="I104" s="83">
        <v>56015.05999999999</v>
      </c>
      <c r="J104" s="83">
        <v>89999.379999999946</v>
      </c>
      <c r="K104" s="106">
        <f t="shared" si="72"/>
        <v>146014.43999999994</v>
      </c>
      <c r="L104" s="107">
        <v>146014.44</v>
      </c>
      <c r="M104" s="106">
        <f t="shared" si="73"/>
        <v>0</v>
      </c>
      <c r="N104" s="83">
        <v>210195.36999999988</v>
      </c>
      <c r="O104" s="107">
        <v>210195.37</v>
      </c>
      <c r="P104" s="106">
        <f t="shared" si="74"/>
        <v>0</v>
      </c>
      <c r="Q104" s="83">
        <v>1050616.78</v>
      </c>
      <c r="R104" s="106">
        <v>205472.49</v>
      </c>
      <c r="S104" s="106">
        <v>392630.35</v>
      </c>
      <c r="T104" s="106">
        <v>459577.81</v>
      </c>
      <c r="U104" s="106">
        <f t="shared" si="116"/>
        <v>-7063.8699999999371</v>
      </c>
      <c r="V104" s="83"/>
      <c r="W104" s="106">
        <v>0</v>
      </c>
      <c r="X104" s="106">
        <v>0</v>
      </c>
      <c r="Y104" s="106">
        <v>0</v>
      </c>
      <c r="Z104" s="106">
        <v>0</v>
      </c>
      <c r="AA104" s="106">
        <f t="shared" si="75"/>
        <v>0</v>
      </c>
      <c r="AB104" s="83">
        <v>229499.66999999987</v>
      </c>
      <c r="AC104" s="83">
        <v>227475.62000000002</v>
      </c>
      <c r="AD104" s="83">
        <v>59867.229999999974</v>
      </c>
      <c r="AE104" s="83">
        <v>100368.95000000001</v>
      </c>
      <c r="AF104" s="83">
        <v>239702.23000000013</v>
      </c>
      <c r="AG104" s="83">
        <v>1078775.0499999998</v>
      </c>
      <c r="AH104" s="108"/>
      <c r="AI104" s="83">
        <v>0</v>
      </c>
      <c r="AJ104" s="83">
        <v>0</v>
      </c>
      <c r="AK104" s="83">
        <v>0</v>
      </c>
      <c r="AL104" s="83">
        <v>0</v>
      </c>
      <c r="AM104" s="83">
        <v>0</v>
      </c>
      <c r="AN104" s="83">
        <v>61428.33</v>
      </c>
      <c r="AO104" s="108"/>
      <c r="AP104" s="83">
        <v>0</v>
      </c>
      <c r="AQ104" s="83">
        <v>0</v>
      </c>
      <c r="AR104" s="83">
        <v>0</v>
      </c>
      <c r="AS104" s="83">
        <v>0</v>
      </c>
      <c r="AT104" s="83">
        <v>0</v>
      </c>
      <c r="AU104" s="83">
        <v>65062.73</v>
      </c>
      <c r="AV104" s="108"/>
      <c r="AW104" s="83">
        <v>0</v>
      </c>
      <c r="AX104" s="83">
        <v>0</v>
      </c>
      <c r="AY104" s="83">
        <v>0</v>
      </c>
      <c r="AZ104" s="83">
        <v>0</v>
      </c>
      <c r="BA104" s="83">
        <v>0</v>
      </c>
      <c r="BB104" s="83">
        <v>61428.33</v>
      </c>
      <c r="BC104" s="108"/>
    </row>
    <row r="105" spans="1:55">
      <c r="A105" s="80" t="s">
        <v>6</v>
      </c>
      <c r="B105" s="102">
        <v>459</v>
      </c>
      <c r="C105" s="103" t="s">
        <v>157</v>
      </c>
      <c r="D105" s="83">
        <v>0</v>
      </c>
      <c r="E105" s="83">
        <v>0</v>
      </c>
      <c r="F105" s="104">
        <f t="shared" si="71"/>
        <v>0</v>
      </c>
      <c r="G105" s="104">
        <v>0</v>
      </c>
      <c r="H105" s="105">
        <f t="shared" si="103"/>
        <v>0</v>
      </c>
      <c r="I105" s="83">
        <v>0</v>
      </c>
      <c r="J105" s="83">
        <v>0</v>
      </c>
      <c r="K105" s="106">
        <f t="shared" si="72"/>
        <v>0</v>
      </c>
      <c r="L105" s="107">
        <v>0</v>
      </c>
      <c r="M105" s="106">
        <f t="shared" si="73"/>
        <v>0</v>
      </c>
      <c r="N105" s="83">
        <v>0</v>
      </c>
      <c r="O105" s="107">
        <v>0</v>
      </c>
      <c r="P105" s="106">
        <f t="shared" si="74"/>
        <v>0</v>
      </c>
      <c r="Q105" s="83">
        <v>1381298.7</v>
      </c>
      <c r="R105" s="106">
        <v>1381298.7</v>
      </c>
      <c r="S105" s="106">
        <v>0</v>
      </c>
      <c r="T105" s="106">
        <v>0</v>
      </c>
      <c r="U105" s="106">
        <f t="shared" si="116"/>
        <v>0</v>
      </c>
      <c r="V105" s="83"/>
      <c r="W105" s="106">
        <v>0</v>
      </c>
      <c r="X105" s="106">
        <v>0</v>
      </c>
      <c r="Y105" s="106">
        <v>0</v>
      </c>
      <c r="Z105" s="106">
        <v>0</v>
      </c>
      <c r="AA105" s="106">
        <f t="shared" si="75"/>
        <v>0</v>
      </c>
      <c r="AB105" s="83">
        <v>0</v>
      </c>
      <c r="AC105" s="83">
        <v>0</v>
      </c>
      <c r="AD105" s="83">
        <v>0</v>
      </c>
      <c r="AE105" s="83">
        <v>0</v>
      </c>
      <c r="AF105" s="83">
        <v>0</v>
      </c>
      <c r="AG105" s="83">
        <v>1008813.84</v>
      </c>
      <c r="AH105" s="108"/>
      <c r="AI105" s="83">
        <v>0</v>
      </c>
      <c r="AJ105" s="83">
        <v>0</v>
      </c>
      <c r="AK105" s="83">
        <v>0</v>
      </c>
      <c r="AL105" s="83">
        <v>0</v>
      </c>
      <c r="AM105" s="83">
        <v>0</v>
      </c>
      <c r="AN105" s="83">
        <v>1983416.22</v>
      </c>
      <c r="AO105" s="108"/>
      <c r="AP105" s="83">
        <v>0</v>
      </c>
      <c r="AQ105" s="83">
        <v>0</v>
      </c>
      <c r="AR105" s="83">
        <v>0</v>
      </c>
      <c r="AS105" s="83">
        <v>0</v>
      </c>
      <c r="AT105" s="83">
        <v>0</v>
      </c>
      <c r="AU105" s="83">
        <v>1247739.25</v>
      </c>
      <c r="AV105" s="108"/>
      <c r="AW105" s="83">
        <v>0</v>
      </c>
      <c r="AX105" s="83">
        <v>0</v>
      </c>
      <c r="AY105" s="83">
        <v>0</v>
      </c>
      <c r="AZ105" s="83">
        <v>0</v>
      </c>
      <c r="BA105" s="83">
        <v>0</v>
      </c>
      <c r="BB105" s="83">
        <v>104841.71</v>
      </c>
      <c r="BC105" s="108"/>
    </row>
    <row r="106" spans="1:55">
      <c r="A106" s="80" t="s">
        <v>6</v>
      </c>
      <c r="B106" s="102">
        <v>461</v>
      </c>
      <c r="C106" s="103" t="s">
        <v>158</v>
      </c>
      <c r="D106" s="83">
        <v>0</v>
      </c>
      <c r="E106" s="83">
        <v>0</v>
      </c>
      <c r="F106" s="104">
        <f t="shared" si="71"/>
        <v>0</v>
      </c>
      <c r="G106" s="104">
        <v>0</v>
      </c>
      <c r="H106" s="105">
        <f t="shared" si="103"/>
        <v>0</v>
      </c>
      <c r="I106" s="83">
        <v>0</v>
      </c>
      <c r="J106" s="83">
        <v>0</v>
      </c>
      <c r="K106" s="106">
        <f t="shared" si="72"/>
        <v>0</v>
      </c>
      <c r="L106" s="107">
        <v>0</v>
      </c>
      <c r="M106" s="106">
        <f t="shared" si="73"/>
        <v>0</v>
      </c>
      <c r="N106" s="83">
        <v>0</v>
      </c>
      <c r="O106" s="107">
        <v>0</v>
      </c>
      <c r="P106" s="106">
        <f t="shared" si="74"/>
        <v>0</v>
      </c>
      <c r="Q106" s="83">
        <v>14259203.160000004</v>
      </c>
      <c r="R106" s="106">
        <v>14259203.16</v>
      </c>
      <c r="S106" s="106">
        <v>0</v>
      </c>
      <c r="T106" s="106">
        <v>0</v>
      </c>
      <c r="U106" s="106">
        <f t="shared" si="116"/>
        <v>3.7252902984619141E-9</v>
      </c>
      <c r="V106" s="83"/>
      <c r="W106" s="106">
        <v>0</v>
      </c>
      <c r="X106" s="106">
        <v>0</v>
      </c>
      <c r="Y106" s="106">
        <v>0</v>
      </c>
      <c r="Z106" s="106">
        <v>0</v>
      </c>
      <c r="AA106" s="106">
        <f t="shared" si="75"/>
        <v>0</v>
      </c>
      <c r="AB106" s="83">
        <v>0</v>
      </c>
      <c r="AC106" s="83">
        <v>0</v>
      </c>
      <c r="AD106" s="83">
        <v>0</v>
      </c>
      <c r="AE106" s="83">
        <v>0</v>
      </c>
      <c r="AF106" s="83">
        <v>0</v>
      </c>
      <c r="AG106" s="83">
        <v>20834063.759999979</v>
      </c>
      <c r="AH106" s="108"/>
      <c r="AI106" s="83">
        <v>0</v>
      </c>
      <c r="AJ106" s="83">
        <v>0</v>
      </c>
      <c r="AK106" s="83">
        <v>0</v>
      </c>
      <c r="AL106" s="83">
        <v>0</v>
      </c>
      <c r="AM106" s="83">
        <v>0</v>
      </c>
      <c r="AN106" s="83">
        <v>22394083.919999998</v>
      </c>
      <c r="AO106" s="108"/>
      <c r="AP106" s="83">
        <v>0</v>
      </c>
      <c r="AQ106" s="83">
        <v>0</v>
      </c>
      <c r="AR106" s="83">
        <v>0</v>
      </c>
      <c r="AS106" s="83">
        <v>0</v>
      </c>
      <c r="AT106" s="83">
        <v>0</v>
      </c>
      <c r="AU106" s="83">
        <v>25372822.099999983</v>
      </c>
      <c r="AV106" s="108"/>
      <c r="AW106" s="83">
        <v>0</v>
      </c>
      <c r="AX106" s="83">
        <v>0</v>
      </c>
      <c r="AY106" s="83">
        <v>0</v>
      </c>
      <c r="AZ106" s="83">
        <v>0</v>
      </c>
      <c r="BA106" s="83">
        <v>0</v>
      </c>
      <c r="BB106" s="83">
        <v>19348365.520000018</v>
      </c>
      <c r="BC106" s="108"/>
    </row>
    <row r="107" spans="1:55">
      <c r="A107" s="80" t="s">
        <v>6</v>
      </c>
      <c r="B107" s="84" t="s">
        <v>159</v>
      </c>
      <c r="C107" s="103" t="s">
        <v>160</v>
      </c>
      <c r="D107" s="83"/>
      <c r="E107" s="83">
        <v>0</v>
      </c>
      <c r="F107" s="104">
        <f t="shared" si="71"/>
        <v>0</v>
      </c>
      <c r="G107" s="104">
        <v>0</v>
      </c>
      <c r="H107" s="105">
        <f t="shared" si="103"/>
        <v>0</v>
      </c>
      <c r="I107" s="83">
        <v>0</v>
      </c>
      <c r="J107" s="83"/>
      <c r="K107" s="106">
        <f t="shared" si="72"/>
        <v>0</v>
      </c>
      <c r="L107" s="107">
        <v>0</v>
      </c>
      <c r="M107" s="106">
        <f t="shared" si="73"/>
        <v>0</v>
      </c>
      <c r="N107" s="83"/>
      <c r="O107" s="107">
        <v>0</v>
      </c>
      <c r="P107" s="106">
        <f t="shared" si="74"/>
        <v>0</v>
      </c>
      <c r="Q107" s="83"/>
      <c r="R107" s="106">
        <v>0</v>
      </c>
      <c r="S107" s="106">
        <v>0</v>
      </c>
      <c r="T107" s="106">
        <v>0</v>
      </c>
      <c r="U107" s="106">
        <f t="shared" si="116"/>
        <v>0</v>
      </c>
      <c r="V107" s="83">
        <v>165089745.06999999</v>
      </c>
      <c r="W107" s="106">
        <v>0</v>
      </c>
      <c r="X107" s="106">
        <v>0</v>
      </c>
      <c r="Y107" s="106">
        <v>0</v>
      </c>
      <c r="Z107" s="106">
        <v>0</v>
      </c>
      <c r="AA107" s="106">
        <f t="shared" si="75"/>
        <v>165089745.06999999</v>
      </c>
      <c r="AB107" s="83"/>
      <c r="AC107" s="83"/>
      <c r="AD107" s="83"/>
      <c r="AE107" s="83"/>
      <c r="AF107" s="83"/>
      <c r="AG107" s="83"/>
      <c r="AH107" s="108">
        <v>197543890.81999999</v>
      </c>
      <c r="AI107" s="83"/>
      <c r="AJ107" s="83"/>
      <c r="AK107" s="83"/>
      <c r="AL107" s="83"/>
      <c r="AM107" s="83"/>
      <c r="AN107" s="83"/>
      <c r="AO107" s="108">
        <v>271346548.44</v>
      </c>
      <c r="AP107" s="83"/>
      <c r="AQ107" s="83"/>
      <c r="AR107" s="83"/>
      <c r="AS107" s="83"/>
      <c r="AT107" s="83"/>
      <c r="AU107" s="83">
        <v>0</v>
      </c>
      <c r="AV107" s="108">
        <v>271417964.31</v>
      </c>
      <c r="AW107" s="83"/>
      <c r="AX107" s="83"/>
      <c r="AY107" s="83"/>
      <c r="AZ107" s="83"/>
      <c r="BA107" s="83"/>
      <c r="BB107" s="83">
        <v>0</v>
      </c>
      <c r="BC107" s="108">
        <v>255360573.31</v>
      </c>
    </row>
    <row r="108" spans="1:55">
      <c r="A108" s="80" t="s">
        <v>6</v>
      </c>
      <c r="B108" s="84" t="s">
        <v>161</v>
      </c>
      <c r="C108" s="103" t="s">
        <v>162</v>
      </c>
      <c r="D108" s="83"/>
      <c r="E108" s="83">
        <v>0</v>
      </c>
      <c r="F108" s="104">
        <f t="shared" si="71"/>
        <v>0</v>
      </c>
      <c r="G108" s="104">
        <v>0</v>
      </c>
      <c r="H108" s="105">
        <f t="shared" si="103"/>
        <v>0</v>
      </c>
      <c r="I108" s="83">
        <v>0</v>
      </c>
      <c r="J108" s="83"/>
      <c r="K108" s="106">
        <f t="shared" si="72"/>
        <v>0</v>
      </c>
      <c r="L108" s="107">
        <v>0</v>
      </c>
      <c r="M108" s="106">
        <f t="shared" si="73"/>
        <v>0</v>
      </c>
      <c r="N108" s="83"/>
      <c r="O108" s="107">
        <v>0</v>
      </c>
      <c r="P108" s="106">
        <f t="shared" si="74"/>
        <v>0</v>
      </c>
      <c r="Q108" s="83"/>
      <c r="R108" s="106">
        <v>0</v>
      </c>
      <c r="S108" s="106">
        <v>0</v>
      </c>
      <c r="T108" s="106">
        <v>0</v>
      </c>
      <c r="U108" s="106">
        <f t="shared" si="116"/>
        <v>0</v>
      </c>
      <c r="V108" s="83">
        <v>62811666.520000003</v>
      </c>
      <c r="W108" s="106">
        <v>0</v>
      </c>
      <c r="X108" s="106">
        <v>0</v>
      </c>
      <c r="Y108" s="106">
        <v>0</v>
      </c>
      <c r="Z108" s="106">
        <v>0</v>
      </c>
      <c r="AA108" s="106">
        <f t="shared" si="75"/>
        <v>62811666.520000003</v>
      </c>
      <c r="AB108" s="83"/>
      <c r="AC108" s="83"/>
      <c r="AD108" s="83"/>
      <c r="AE108" s="83"/>
      <c r="AF108" s="83"/>
      <c r="AG108" s="83"/>
      <c r="AH108" s="108">
        <v>74970675.939999998</v>
      </c>
      <c r="AI108" s="83"/>
      <c r="AJ108" s="83"/>
      <c r="AK108" s="83"/>
      <c r="AL108" s="83"/>
      <c r="AM108" s="83"/>
      <c r="AN108" s="83"/>
      <c r="AO108" s="108">
        <v>102504425.59999999</v>
      </c>
      <c r="AP108" s="83"/>
      <c r="AQ108" s="83"/>
      <c r="AR108" s="83"/>
      <c r="AS108" s="83"/>
      <c r="AT108" s="83"/>
      <c r="AU108" s="83"/>
      <c r="AV108" s="108">
        <v>97994309.260000005</v>
      </c>
      <c r="AW108" s="83"/>
      <c r="AX108" s="83"/>
      <c r="AY108" s="83"/>
      <c r="AZ108" s="83"/>
      <c r="BA108" s="83"/>
      <c r="BB108" s="83"/>
      <c r="BC108" s="108">
        <v>94341311.599999994</v>
      </c>
    </row>
    <row r="109" spans="1:55" s="112" customFormat="1">
      <c r="A109" s="109"/>
      <c r="B109" s="84"/>
      <c r="C109" s="103"/>
      <c r="D109" s="110"/>
      <c r="E109" s="110"/>
      <c r="F109" s="104"/>
      <c r="G109" s="104"/>
      <c r="H109" s="105"/>
      <c r="I109" s="110"/>
      <c r="J109" s="110"/>
      <c r="K109" s="106"/>
      <c r="L109" s="107"/>
      <c r="M109" s="106"/>
      <c r="N109" s="110"/>
      <c r="O109" s="107"/>
      <c r="P109" s="106"/>
      <c r="Q109" s="110"/>
      <c r="R109" s="106"/>
      <c r="S109" s="106"/>
      <c r="T109" s="106"/>
      <c r="U109" s="106"/>
      <c r="V109" s="110"/>
      <c r="W109" s="106"/>
      <c r="X109" s="106"/>
      <c r="Y109" s="106"/>
      <c r="Z109" s="106"/>
      <c r="AA109" s="106"/>
      <c r="AB109" s="110"/>
      <c r="AC109" s="110"/>
      <c r="AD109" s="83"/>
      <c r="AE109" s="83"/>
      <c r="AF109" s="83"/>
      <c r="AG109" s="83"/>
      <c r="AH109" s="111"/>
      <c r="AI109" s="83"/>
      <c r="AJ109" s="83"/>
      <c r="AK109" s="83"/>
      <c r="AL109" s="83"/>
      <c r="AM109" s="83"/>
      <c r="AN109" s="83"/>
      <c r="AO109" s="111"/>
      <c r="AP109" s="83"/>
      <c r="AQ109" s="83"/>
      <c r="AR109" s="83"/>
      <c r="AS109" s="83"/>
      <c r="AT109" s="83"/>
      <c r="AU109" s="83"/>
      <c r="AV109" s="111"/>
      <c r="AW109" s="83"/>
      <c r="AX109" s="83"/>
      <c r="AY109" s="83"/>
      <c r="AZ109" s="83"/>
      <c r="BA109" s="83"/>
      <c r="BB109" s="83"/>
      <c r="BC109" s="111"/>
    </row>
    <row r="110" spans="1:55">
      <c r="B110" s="87" t="s">
        <v>236</v>
      </c>
      <c r="C110" s="88"/>
      <c r="D110" s="98">
        <f>SUM(D111:D133)</f>
        <v>67284247.169999927</v>
      </c>
      <c r="E110" s="98">
        <f t="shared" ref="E110:V110" si="117">SUM(E111:E133)</f>
        <v>20596203.270000014</v>
      </c>
      <c r="F110" s="99">
        <f t="shared" si="71"/>
        <v>87880450.439999938</v>
      </c>
      <c r="G110" s="99">
        <f>SUM(G111:G134)</f>
        <v>88370540.400000006</v>
      </c>
      <c r="H110" s="99">
        <f t="shared" ref="H110:H134" si="118">F110-G110</f>
        <v>-490089.96000006795</v>
      </c>
      <c r="I110" s="98">
        <f t="shared" si="117"/>
        <v>841979.05999999971</v>
      </c>
      <c r="J110" s="98">
        <f t="shared" si="117"/>
        <v>25428032.199999996</v>
      </c>
      <c r="K110" s="100">
        <f t="shared" si="72"/>
        <v>26270011.259999994</v>
      </c>
      <c r="L110" s="100">
        <f>SUM(L111:L134)</f>
        <v>26270011.260000002</v>
      </c>
      <c r="M110" s="100">
        <f t="shared" si="73"/>
        <v>0</v>
      </c>
      <c r="N110" s="98">
        <f t="shared" si="117"/>
        <v>67537405.149999991</v>
      </c>
      <c r="O110" s="100">
        <f>SUM(O111:O134)</f>
        <v>67537405.150000006</v>
      </c>
      <c r="P110" s="100">
        <f t="shared" si="74"/>
        <v>0</v>
      </c>
      <c r="Q110" s="98">
        <f>SUM(Q111:Q133)</f>
        <v>21526323.93</v>
      </c>
      <c r="R110" s="100">
        <f>SUM(R111:R134)</f>
        <v>281742944.36000001</v>
      </c>
      <c r="S110" s="100">
        <f>SUM(S111:S134)</f>
        <v>12967247.139999999</v>
      </c>
      <c r="T110" s="100">
        <f>SUM(T111:T134)</f>
        <v>313631501.61000001</v>
      </c>
      <c r="U110" s="100">
        <f>Q110-R110-S110-T110</f>
        <v>-586815369.18000007</v>
      </c>
      <c r="V110" s="98">
        <f t="shared" si="117"/>
        <v>4179053.1500000004</v>
      </c>
      <c r="W110" s="100">
        <f t="shared" ref="W110:Z110" si="119">SUM(W111:W134)</f>
        <v>0</v>
      </c>
      <c r="X110" s="100">
        <f t="shared" si="119"/>
        <v>0</v>
      </c>
      <c r="Y110" s="100">
        <f t="shared" si="119"/>
        <v>5005393.2300000004</v>
      </c>
      <c r="Z110" s="100">
        <f t="shared" si="119"/>
        <v>286651403.13999999</v>
      </c>
      <c r="AA110" s="100">
        <f t="shared" si="75"/>
        <v>-287477743.21999997</v>
      </c>
      <c r="AB110" s="98">
        <f>SUM(AB111:AB133)</f>
        <v>71853826.599999994</v>
      </c>
      <c r="AC110" s="98">
        <f t="shared" ref="AC110:AF110" si="120">SUM(AC111:AC133)</f>
        <v>26324892.570000019</v>
      </c>
      <c r="AD110" s="98">
        <f t="shared" si="120"/>
        <v>784765.79999999993</v>
      </c>
      <c r="AE110" s="98">
        <f t="shared" si="120"/>
        <v>31301436.44000002</v>
      </c>
      <c r="AF110" s="98">
        <f t="shared" si="120"/>
        <v>71442056.790000007</v>
      </c>
      <c r="AG110" s="98">
        <f>SUM(AG111:AG133)</f>
        <v>27339513.099999998</v>
      </c>
      <c r="AH110" s="101">
        <f t="shared" ref="AH110" si="121">SUM(AH111:AH133)</f>
        <v>3906537.29</v>
      </c>
      <c r="AI110" s="98">
        <f>SUM(AI111:AI133)</f>
        <v>75430038.490000024</v>
      </c>
      <c r="AJ110" s="98">
        <f t="shared" ref="AJ110:AM110" si="122">SUM(AJ111:AJ133)</f>
        <v>33500699.280000009</v>
      </c>
      <c r="AK110" s="98">
        <f t="shared" si="122"/>
        <v>885784.00000000035</v>
      </c>
      <c r="AL110" s="98">
        <f t="shared" si="122"/>
        <v>41218779.219999984</v>
      </c>
      <c r="AM110" s="98">
        <f t="shared" si="122"/>
        <v>85166082.420000032</v>
      </c>
      <c r="AN110" s="98">
        <f>SUM(AN111:AN133)</f>
        <v>22453412.209999997</v>
      </c>
      <c r="AO110" s="101">
        <f t="shared" ref="AO110" si="123">SUM(AO111:AO133)</f>
        <v>53559673.589999996</v>
      </c>
      <c r="AP110" s="98">
        <f>SUM(AP111:AP133)</f>
        <v>65974610.270000003</v>
      </c>
      <c r="AQ110" s="98">
        <f t="shared" ref="AQ110:AT110" si="124">SUM(AQ111:AQ133)</f>
        <v>23742436.230000019</v>
      </c>
      <c r="AR110" s="98">
        <f t="shared" si="124"/>
        <v>506561.56</v>
      </c>
      <c r="AS110" s="98">
        <f t="shared" si="124"/>
        <v>40332875.840000011</v>
      </c>
      <c r="AT110" s="98">
        <f t="shared" si="124"/>
        <v>71026757.569999948</v>
      </c>
      <c r="AU110" s="98">
        <f>SUM(AU111:AU133)</f>
        <v>16585260.480000002</v>
      </c>
      <c r="AV110" s="101">
        <f t="shared" ref="AV110" si="125">SUM(AV111:AV133)</f>
        <v>38041479.230000004</v>
      </c>
      <c r="AW110" s="98">
        <f>SUM(AW111:AW133)</f>
        <v>52811960.359999806</v>
      </c>
      <c r="AX110" s="98">
        <f t="shared" ref="AX110:BA110" si="126">SUM(AX111:AX133)</f>
        <v>23681017.629999984</v>
      </c>
      <c r="AY110" s="98">
        <f t="shared" si="126"/>
        <v>580777.07000000007</v>
      </c>
      <c r="AZ110" s="98">
        <f t="shared" si="126"/>
        <v>33063999.460000023</v>
      </c>
      <c r="BA110" s="98">
        <f t="shared" si="126"/>
        <v>53491865.600000016</v>
      </c>
      <c r="BB110" s="98">
        <f>SUM(BB111:BB133)</f>
        <v>11491414.389999999</v>
      </c>
      <c r="BC110" s="101">
        <f t="shared" ref="BC110" si="127">SUM(BC111:BC133)</f>
        <v>4019664.54</v>
      </c>
    </row>
    <row r="111" spans="1:55">
      <c r="A111" s="80" t="s">
        <v>6</v>
      </c>
      <c r="B111" s="102">
        <v>402</v>
      </c>
      <c r="C111" s="103" t="s">
        <v>163</v>
      </c>
      <c r="D111" s="83">
        <v>713546.88999999978</v>
      </c>
      <c r="E111" s="83">
        <v>623053.45999999985</v>
      </c>
      <c r="F111" s="104">
        <f t="shared" si="71"/>
        <v>1336600.3499999996</v>
      </c>
      <c r="G111" s="104">
        <v>1336600.3500000001</v>
      </c>
      <c r="H111" s="105">
        <f t="shared" si="118"/>
        <v>0</v>
      </c>
      <c r="I111" s="83">
        <v>256479.60999999996</v>
      </c>
      <c r="J111" s="83">
        <v>377126.13999999996</v>
      </c>
      <c r="K111" s="106">
        <f t="shared" si="72"/>
        <v>633605.74999999988</v>
      </c>
      <c r="L111" s="107">
        <v>633605.75</v>
      </c>
      <c r="M111" s="106">
        <f t="shared" si="73"/>
        <v>0</v>
      </c>
      <c r="N111" s="83">
        <v>562672.15000000049</v>
      </c>
      <c r="O111" s="107">
        <v>562672.15</v>
      </c>
      <c r="P111" s="106">
        <f t="shared" si="74"/>
        <v>0</v>
      </c>
      <c r="Q111" s="83">
        <v>9041321.1400000006</v>
      </c>
      <c r="R111" s="106">
        <v>1362936.66</v>
      </c>
      <c r="S111" s="106">
        <v>2612214.7799999998</v>
      </c>
      <c r="T111" s="106">
        <v>5248476.67</v>
      </c>
      <c r="U111" s="106">
        <f t="shared" ref="U111:U134" si="128">Q111-R111-S111-T111</f>
        <v>-182306.96999999881</v>
      </c>
      <c r="V111" s="83"/>
      <c r="W111" s="106">
        <v>0</v>
      </c>
      <c r="X111" s="106">
        <v>0</v>
      </c>
      <c r="Y111" s="106">
        <v>0</v>
      </c>
      <c r="Z111" s="106">
        <v>0</v>
      </c>
      <c r="AA111" s="106">
        <f t="shared" si="75"/>
        <v>0</v>
      </c>
      <c r="AB111" s="83">
        <v>806795.50999999943</v>
      </c>
      <c r="AC111" s="83">
        <v>502992.80999999982</v>
      </c>
      <c r="AD111" s="83">
        <v>231658.84999999995</v>
      </c>
      <c r="AE111" s="83">
        <v>473571.20999999985</v>
      </c>
      <c r="AF111" s="83">
        <v>626949.48000000021</v>
      </c>
      <c r="AG111" s="83">
        <v>8770774.0400000028</v>
      </c>
      <c r="AH111" s="108"/>
      <c r="AI111" s="83">
        <v>912141.19999999949</v>
      </c>
      <c r="AJ111" s="83">
        <v>551735.31000000017</v>
      </c>
      <c r="AK111" s="83">
        <v>245368.16</v>
      </c>
      <c r="AL111" s="83">
        <v>477931.68000000011</v>
      </c>
      <c r="AM111" s="83">
        <v>697266.70999999985</v>
      </c>
      <c r="AN111" s="83">
        <v>7481548.6199999992</v>
      </c>
      <c r="AO111" s="108"/>
      <c r="AP111" s="83">
        <v>535357.31000000006</v>
      </c>
      <c r="AQ111" s="83">
        <v>341127.99</v>
      </c>
      <c r="AR111" s="83">
        <v>220301.0400000001</v>
      </c>
      <c r="AS111" s="83">
        <v>208005.84999999995</v>
      </c>
      <c r="AT111" s="83">
        <v>495815.10999999987</v>
      </c>
      <c r="AU111" s="83">
        <v>3610496.43</v>
      </c>
      <c r="AV111" s="108"/>
      <c r="AW111" s="83">
        <v>459242.27999999985</v>
      </c>
      <c r="AX111" s="83">
        <v>293573.33999999997</v>
      </c>
      <c r="AY111" s="83">
        <v>205567.48</v>
      </c>
      <c r="AZ111" s="83">
        <v>191750.19999999998</v>
      </c>
      <c r="BA111" s="83">
        <v>232161.43999999994</v>
      </c>
      <c r="BB111" s="83">
        <v>2790426.3</v>
      </c>
      <c r="BC111" s="108"/>
    </row>
    <row r="112" spans="1:55">
      <c r="A112" s="80" t="s">
        <v>6</v>
      </c>
      <c r="B112" s="102">
        <v>403</v>
      </c>
      <c r="C112" s="103" t="s">
        <v>164</v>
      </c>
      <c r="D112" s="83">
        <v>1338487.4300000004</v>
      </c>
      <c r="E112" s="83">
        <v>1641235.9599999976</v>
      </c>
      <c r="F112" s="104">
        <f t="shared" si="71"/>
        <v>2979723.3899999978</v>
      </c>
      <c r="G112" s="104">
        <v>2990435.03</v>
      </c>
      <c r="H112" s="105">
        <f t="shared" si="118"/>
        <v>-10711.640000001993</v>
      </c>
      <c r="I112" s="83">
        <v>514193.31999999977</v>
      </c>
      <c r="J112" s="83">
        <v>612939.85000000021</v>
      </c>
      <c r="K112" s="106">
        <f t="shared" si="72"/>
        <v>1127133.17</v>
      </c>
      <c r="L112" s="107">
        <v>1127133.17</v>
      </c>
      <c r="M112" s="106">
        <f t="shared" si="73"/>
        <v>0</v>
      </c>
      <c r="N112" s="83">
        <v>1388807.5399999989</v>
      </c>
      <c r="O112" s="107">
        <v>1388807.54</v>
      </c>
      <c r="P112" s="106">
        <f t="shared" si="74"/>
        <v>0</v>
      </c>
      <c r="Q112" s="83">
        <v>3249798.0699999994</v>
      </c>
      <c r="R112" s="106">
        <v>508400.36</v>
      </c>
      <c r="S112" s="106">
        <v>847241.2</v>
      </c>
      <c r="T112" s="106">
        <v>1898475.15</v>
      </c>
      <c r="U112" s="106">
        <f t="shared" si="128"/>
        <v>-4318.6400000003632</v>
      </c>
      <c r="V112" s="83"/>
      <c r="W112" s="106">
        <v>0</v>
      </c>
      <c r="X112" s="106">
        <v>0</v>
      </c>
      <c r="Y112" s="106">
        <v>0</v>
      </c>
      <c r="Z112" s="106">
        <v>0</v>
      </c>
      <c r="AA112" s="106">
        <f t="shared" si="75"/>
        <v>0</v>
      </c>
      <c r="AB112" s="83">
        <v>1329837.1100000001</v>
      </c>
      <c r="AC112" s="83">
        <v>1584916.8800000004</v>
      </c>
      <c r="AD112" s="83">
        <v>538281.21</v>
      </c>
      <c r="AE112" s="83">
        <v>661340.76000000047</v>
      </c>
      <c r="AF112" s="83">
        <v>1457628.060000001</v>
      </c>
      <c r="AG112" s="83">
        <v>2982694.9399999995</v>
      </c>
      <c r="AH112" s="108"/>
      <c r="AI112" s="83">
        <v>1019819.4899999996</v>
      </c>
      <c r="AJ112" s="83">
        <v>1215869.94</v>
      </c>
      <c r="AK112" s="83">
        <v>491883.02000000025</v>
      </c>
      <c r="AL112" s="83">
        <v>490821.16999999993</v>
      </c>
      <c r="AM112" s="83">
        <v>1115433.1300000004</v>
      </c>
      <c r="AN112" s="83">
        <v>2515336.0799999996</v>
      </c>
      <c r="AO112" s="108"/>
      <c r="AP112" s="83">
        <v>404451.38000000024</v>
      </c>
      <c r="AQ112" s="83">
        <v>539210.57000000041</v>
      </c>
      <c r="AR112" s="83">
        <v>267175.32999999996</v>
      </c>
      <c r="AS112" s="83">
        <v>190885.20999999993</v>
      </c>
      <c r="AT112" s="83">
        <v>259028.89999999988</v>
      </c>
      <c r="AU112" s="83">
        <v>1304536.56</v>
      </c>
      <c r="AV112" s="108"/>
      <c r="AW112" s="83">
        <v>312527.03000000026</v>
      </c>
      <c r="AX112" s="83">
        <v>344530.21</v>
      </c>
      <c r="AY112" s="83">
        <v>158162.86999999997</v>
      </c>
      <c r="AZ112" s="83">
        <v>172799.92</v>
      </c>
      <c r="BA112" s="83">
        <v>103631.45000000001</v>
      </c>
      <c r="BB112" s="83">
        <v>570002.63</v>
      </c>
      <c r="BC112" s="108"/>
    </row>
    <row r="113" spans="1:55">
      <c r="A113" s="80" t="s">
        <v>6</v>
      </c>
      <c r="B113" s="102">
        <v>404</v>
      </c>
      <c r="C113" s="103" t="s">
        <v>165</v>
      </c>
      <c r="D113" s="83">
        <v>11655.6</v>
      </c>
      <c r="E113" s="83">
        <v>0</v>
      </c>
      <c r="F113" s="104">
        <f t="shared" si="71"/>
        <v>11655.6</v>
      </c>
      <c r="G113" s="104">
        <v>11655.6</v>
      </c>
      <c r="H113" s="105">
        <f t="shared" si="118"/>
        <v>0</v>
      </c>
      <c r="I113" s="83">
        <v>0</v>
      </c>
      <c r="J113" s="83">
        <v>0</v>
      </c>
      <c r="K113" s="106">
        <f t="shared" si="72"/>
        <v>0</v>
      </c>
      <c r="L113" s="107">
        <v>0</v>
      </c>
      <c r="M113" s="106">
        <f t="shared" si="73"/>
        <v>0</v>
      </c>
      <c r="N113" s="83">
        <v>0</v>
      </c>
      <c r="O113" s="107">
        <v>0</v>
      </c>
      <c r="P113" s="106">
        <f t="shared" si="74"/>
        <v>0</v>
      </c>
      <c r="Q113" s="83">
        <v>310875.11000000004</v>
      </c>
      <c r="R113" s="106">
        <v>267381.02</v>
      </c>
      <c r="S113" s="106">
        <v>28710.59</v>
      </c>
      <c r="T113" s="106">
        <v>14783.5</v>
      </c>
      <c r="U113" s="106">
        <f t="shared" si="128"/>
        <v>2.5465851649641991E-11</v>
      </c>
      <c r="V113" s="83"/>
      <c r="W113" s="106">
        <v>0</v>
      </c>
      <c r="X113" s="106">
        <v>0</v>
      </c>
      <c r="Y113" s="106">
        <v>0</v>
      </c>
      <c r="Z113" s="106">
        <v>0</v>
      </c>
      <c r="AA113" s="106">
        <f t="shared" si="75"/>
        <v>0</v>
      </c>
      <c r="AB113" s="83">
        <v>16878.690000000002</v>
      </c>
      <c r="AC113" s="83">
        <v>0</v>
      </c>
      <c r="AD113" s="83">
        <v>0</v>
      </c>
      <c r="AE113" s="83">
        <v>0</v>
      </c>
      <c r="AF113" s="83">
        <v>0</v>
      </c>
      <c r="AG113" s="83">
        <v>494500.31000000006</v>
      </c>
      <c r="AH113" s="108"/>
      <c r="AI113" s="83">
        <v>9681.41</v>
      </c>
      <c r="AJ113" s="83">
        <v>0</v>
      </c>
      <c r="AK113" s="83">
        <v>0</v>
      </c>
      <c r="AL113" s="83">
        <v>0</v>
      </c>
      <c r="AM113" s="83">
        <v>0</v>
      </c>
      <c r="AN113" s="83">
        <v>515549.08</v>
      </c>
      <c r="AO113" s="108"/>
      <c r="AP113" s="83">
        <v>10701.15</v>
      </c>
      <c r="AQ113" s="83">
        <v>0</v>
      </c>
      <c r="AR113" s="83">
        <v>0</v>
      </c>
      <c r="AS113" s="83">
        <v>0</v>
      </c>
      <c r="AT113" s="83">
        <v>0</v>
      </c>
      <c r="AU113" s="83">
        <v>571529.46000000008</v>
      </c>
      <c r="AV113" s="108"/>
      <c r="AW113" s="83">
        <v>13691.4</v>
      </c>
      <c r="AX113" s="83">
        <v>0</v>
      </c>
      <c r="AY113" s="83">
        <v>0</v>
      </c>
      <c r="AZ113" s="83">
        <v>0</v>
      </c>
      <c r="BA113" s="83">
        <v>0</v>
      </c>
      <c r="BB113" s="83">
        <v>563882.81999999995</v>
      </c>
      <c r="BC113" s="108"/>
    </row>
    <row r="114" spans="1:55">
      <c r="A114" s="80" t="s">
        <v>6</v>
      </c>
      <c r="B114" s="102">
        <v>407</v>
      </c>
      <c r="C114" s="103" t="s">
        <v>166</v>
      </c>
      <c r="D114" s="83">
        <v>583.6</v>
      </c>
      <c r="E114" s="83">
        <v>0</v>
      </c>
      <c r="F114" s="104">
        <f t="shared" si="71"/>
        <v>583.6</v>
      </c>
      <c r="G114" s="104">
        <v>583.6</v>
      </c>
      <c r="H114" s="105">
        <f t="shared" si="118"/>
        <v>0</v>
      </c>
      <c r="I114" s="83">
        <v>0</v>
      </c>
      <c r="J114" s="83">
        <v>0</v>
      </c>
      <c r="K114" s="106">
        <f t="shared" si="72"/>
        <v>0</v>
      </c>
      <c r="L114" s="107">
        <v>0</v>
      </c>
      <c r="M114" s="106">
        <f t="shared" si="73"/>
        <v>0</v>
      </c>
      <c r="N114" s="83">
        <v>150</v>
      </c>
      <c r="O114" s="107">
        <v>150</v>
      </c>
      <c r="P114" s="106">
        <f t="shared" si="74"/>
        <v>0</v>
      </c>
      <c r="Q114" s="83">
        <v>274851.03000000003</v>
      </c>
      <c r="R114" s="106">
        <v>96528.11</v>
      </c>
      <c r="S114" s="106">
        <v>166946.76999999999</v>
      </c>
      <c r="T114" s="106">
        <v>11563.15</v>
      </c>
      <c r="U114" s="106">
        <f t="shared" si="128"/>
        <v>-186.99999999994725</v>
      </c>
      <c r="V114" s="83"/>
      <c r="W114" s="106">
        <v>0</v>
      </c>
      <c r="X114" s="106">
        <v>0</v>
      </c>
      <c r="Y114" s="106">
        <v>0</v>
      </c>
      <c r="Z114" s="106">
        <v>0</v>
      </c>
      <c r="AA114" s="106">
        <f t="shared" si="75"/>
        <v>0</v>
      </c>
      <c r="AB114" s="83">
        <v>150</v>
      </c>
      <c r="AC114" s="83">
        <v>0</v>
      </c>
      <c r="AD114" s="83">
        <v>0</v>
      </c>
      <c r="AE114" s="83">
        <v>0</v>
      </c>
      <c r="AF114" s="83">
        <v>1261.8</v>
      </c>
      <c r="AG114" s="83">
        <v>212776.94</v>
      </c>
      <c r="AH114" s="108"/>
      <c r="AI114" s="83">
        <v>0</v>
      </c>
      <c r="AJ114" s="83">
        <v>322</v>
      </c>
      <c r="AK114" s="83">
        <v>0</v>
      </c>
      <c r="AL114" s="83">
        <v>0</v>
      </c>
      <c r="AM114" s="83">
        <v>300</v>
      </c>
      <c r="AN114" s="83">
        <v>219229.11999999997</v>
      </c>
      <c r="AO114" s="108"/>
      <c r="AP114" s="83">
        <v>150</v>
      </c>
      <c r="AQ114" s="83">
        <v>0</v>
      </c>
      <c r="AR114" s="83">
        <v>0</v>
      </c>
      <c r="AS114" s="83">
        <v>0</v>
      </c>
      <c r="AT114" s="83">
        <v>150</v>
      </c>
      <c r="AU114" s="83">
        <v>166252.15</v>
      </c>
      <c r="AV114" s="108"/>
      <c r="AW114" s="83">
        <v>330</v>
      </c>
      <c r="AX114" s="83">
        <v>0</v>
      </c>
      <c r="AY114" s="83">
        <v>0</v>
      </c>
      <c r="AZ114" s="83">
        <v>0</v>
      </c>
      <c r="BA114" s="83">
        <v>194.53</v>
      </c>
      <c r="BB114" s="83">
        <v>202840.02000000002</v>
      </c>
      <c r="BC114" s="108"/>
    </row>
    <row r="115" spans="1:55">
      <c r="A115" s="80" t="s">
        <v>6</v>
      </c>
      <c r="B115" s="102">
        <v>408</v>
      </c>
      <c r="C115" s="103" t="s">
        <v>167</v>
      </c>
      <c r="D115" s="83">
        <v>13661.809999999998</v>
      </c>
      <c r="E115" s="83">
        <v>3594.6000000000004</v>
      </c>
      <c r="F115" s="104">
        <f t="shared" si="71"/>
        <v>17256.409999999996</v>
      </c>
      <c r="G115" s="104">
        <v>18496.41</v>
      </c>
      <c r="H115" s="105">
        <f t="shared" si="118"/>
        <v>-1240.0000000000036</v>
      </c>
      <c r="I115" s="83">
        <v>10173.620000000001</v>
      </c>
      <c r="J115" s="83">
        <v>2580.1</v>
      </c>
      <c r="K115" s="106">
        <f t="shared" si="72"/>
        <v>12753.720000000001</v>
      </c>
      <c r="L115" s="107">
        <v>12753.72</v>
      </c>
      <c r="M115" s="106">
        <f t="shared" si="73"/>
        <v>0</v>
      </c>
      <c r="N115" s="83">
        <v>33887.589999999989</v>
      </c>
      <c r="O115" s="107">
        <v>33887.589999999997</v>
      </c>
      <c r="P115" s="106">
        <f t="shared" si="74"/>
        <v>0</v>
      </c>
      <c r="Q115" s="83">
        <v>3052878.6799999997</v>
      </c>
      <c r="R115" s="106">
        <v>337562.15</v>
      </c>
      <c r="S115" s="106">
        <v>794574.58</v>
      </c>
      <c r="T115" s="106">
        <v>1920741.95</v>
      </c>
      <c r="U115" s="106">
        <f t="shared" si="128"/>
        <v>0</v>
      </c>
      <c r="V115" s="83"/>
      <c r="W115" s="106">
        <v>0</v>
      </c>
      <c r="X115" s="106">
        <v>0</v>
      </c>
      <c r="Y115" s="106">
        <v>0</v>
      </c>
      <c r="Z115" s="106">
        <v>0</v>
      </c>
      <c r="AA115" s="106">
        <f t="shared" si="75"/>
        <v>0</v>
      </c>
      <c r="AB115" s="83">
        <v>30562.880000000001</v>
      </c>
      <c r="AC115" s="83">
        <v>152858.49999999997</v>
      </c>
      <c r="AD115" s="83">
        <v>3309.88</v>
      </c>
      <c r="AE115" s="83">
        <v>65007.72</v>
      </c>
      <c r="AF115" s="83">
        <v>13772.549999999997</v>
      </c>
      <c r="AG115" s="83">
        <v>5199038.629999999</v>
      </c>
      <c r="AH115" s="108"/>
      <c r="AI115" s="83">
        <v>12107.890000000001</v>
      </c>
      <c r="AJ115" s="83">
        <v>10064.630000000001</v>
      </c>
      <c r="AK115" s="83">
        <v>11255.06</v>
      </c>
      <c r="AL115" s="83">
        <v>124408.46</v>
      </c>
      <c r="AM115" s="83">
        <v>13145.27</v>
      </c>
      <c r="AN115" s="83">
        <v>2588568.3600000003</v>
      </c>
      <c r="AO115" s="108"/>
      <c r="AP115" s="83">
        <v>50626.149999999994</v>
      </c>
      <c r="AQ115" s="83">
        <v>17039.490000000002</v>
      </c>
      <c r="AR115" s="83">
        <v>9353.5299999999988</v>
      </c>
      <c r="AS115" s="83">
        <v>14999.79</v>
      </c>
      <c r="AT115" s="83">
        <v>9906.0499999999993</v>
      </c>
      <c r="AU115" s="83">
        <v>2597614.7999999998</v>
      </c>
      <c r="AV115" s="108"/>
      <c r="AW115" s="83">
        <v>1152.5400000000004</v>
      </c>
      <c r="AX115" s="83">
        <v>775.7399999999999</v>
      </c>
      <c r="AY115" s="83">
        <v>239.96</v>
      </c>
      <c r="AZ115" s="83">
        <v>699.7399999999999</v>
      </c>
      <c r="BA115" s="83">
        <v>5590.08</v>
      </c>
      <c r="BB115" s="83">
        <v>2212361.75</v>
      </c>
      <c r="BC115" s="108"/>
    </row>
    <row r="116" spans="1:55">
      <c r="A116" s="80" t="s">
        <v>6</v>
      </c>
      <c r="B116" s="102">
        <v>409</v>
      </c>
      <c r="C116" s="103" t="s">
        <v>168</v>
      </c>
      <c r="D116" s="83">
        <v>4955.0300000000007</v>
      </c>
      <c r="E116" s="83">
        <v>3498.4500000000007</v>
      </c>
      <c r="F116" s="104">
        <f t="shared" si="71"/>
        <v>8453.4800000000014</v>
      </c>
      <c r="G116" s="104">
        <v>8453.48</v>
      </c>
      <c r="H116" s="105">
        <f t="shared" si="118"/>
        <v>0</v>
      </c>
      <c r="I116" s="83">
        <v>932.84</v>
      </c>
      <c r="J116" s="83">
        <v>82.8</v>
      </c>
      <c r="K116" s="106">
        <f t="shared" si="72"/>
        <v>1015.64</v>
      </c>
      <c r="L116" s="107">
        <v>1015.64</v>
      </c>
      <c r="M116" s="106">
        <f t="shared" si="73"/>
        <v>0</v>
      </c>
      <c r="N116" s="83">
        <v>6688.5199999999995</v>
      </c>
      <c r="O116" s="107">
        <v>6688.52</v>
      </c>
      <c r="P116" s="106">
        <f t="shared" si="74"/>
        <v>0</v>
      </c>
      <c r="Q116" s="83">
        <v>176273.81999999998</v>
      </c>
      <c r="R116" s="106">
        <v>17260.169999999998</v>
      </c>
      <c r="S116" s="106">
        <v>9468.7999999999993</v>
      </c>
      <c r="T116" s="106">
        <v>149544.85</v>
      </c>
      <c r="U116" s="106">
        <f t="shared" si="128"/>
        <v>0</v>
      </c>
      <c r="V116" s="83"/>
      <c r="W116" s="106">
        <v>0</v>
      </c>
      <c r="X116" s="106">
        <v>0</v>
      </c>
      <c r="Y116" s="106">
        <v>0</v>
      </c>
      <c r="Z116" s="106">
        <v>0</v>
      </c>
      <c r="AA116" s="106">
        <f t="shared" si="75"/>
        <v>0</v>
      </c>
      <c r="AB116" s="83">
        <v>6101.9</v>
      </c>
      <c r="AC116" s="83">
        <v>4489.3500000000004</v>
      </c>
      <c r="AD116" s="83">
        <v>2343.34</v>
      </c>
      <c r="AE116" s="83">
        <v>1520.87</v>
      </c>
      <c r="AF116" s="83">
        <v>4898.3900000000003</v>
      </c>
      <c r="AG116" s="83">
        <v>248238.9</v>
      </c>
      <c r="AH116" s="108"/>
      <c r="AI116" s="83">
        <v>6068.47</v>
      </c>
      <c r="AJ116" s="83">
        <v>7603.4099999999989</v>
      </c>
      <c r="AK116" s="83">
        <v>1397.76</v>
      </c>
      <c r="AL116" s="83">
        <v>2128.0699999999997</v>
      </c>
      <c r="AM116" s="83">
        <v>9233.7599999999984</v>
      </c>
      <c r="AN116" s="83">
        <v>242875.43</v>
      </c>
      <c r="AO116" s="108"/>
      <c r="AP116" s="83">
        <v>136.88</v>
      </c>
      <c r="AQ116" s="83">
        <v>875.19999999999993</v>
      </c>
      <c r="AR116" s="83">
        <v>31.66</v>
      </c>
      <c r="AS116" s="83">
        <v>217.79999999999998</v>
      </c>
      <c r="AT116" s="83">
        <v>788.30000000000007</v>
      </c>
      <c r="AU116" s="83">
        <v>28810.699999999997</v>
      </c>
      <c r="AV116" s="108"/>
      <c r="AW116" s="83">
        <v>26.3</v>
      </c>
      <c r="AX116" s="83">
        <v>298.22000000000003</v>
      </c>
      <c r="AY116" s="83">
        <v>11.71</v>
      </c>
      <c r="AZ116" s="83">
        <v>34</v>
      </c>
      <c r="BA116" s="83">
        <v>95.69</v>
      </c>
      <c r="BB116" s="83">
        <v>7947.02</v>
      </c>
      <c r="BC116" s="108"/>
    </row>
    <row r="117" spans="1:55">
      <c r="A117" s="80" t="s">
        <v>6</v>
      </c>
      <c r="B117" s="102">
        <v>412</v>
      </c>
      <c r="C117" s="103" t="s">
        <v>169</v>
      </c>
      <c r="D117" s="83">
        <v>564957.69999999995</v>
      </c>
      <c r="E117" s="83">
        <v>0</v>
      </c>
      <c r="F117" s="104">
        <f t="shared" si="71"/>
        <v>564957.69999999995</v>
      </c>
      <c r="G117" s="104">
        <v>564957.69999999995</v>
      </c>
      <c r="H117" s="105">
        <f t="shared" si="118"/>
        <v>0</v>
      </c>
      <c r="I117" s="83">
        <v>4300</v>
      </c>
      <c r="J117" s="83">
        <v>0</v>
      </c>
      <c r="K117" s="106">
        <f t="shared" si="72"/>
        <v>4300</v>
      </c>
      <c r="L117" s="107">
        <v>4300</v>
      </c>
      <c r="M117" s="106">
        <f t="shared" si="73"/>
        <v>0</v>
      </c>
      <c r="N117" s="83">
        <v>0</v>
      </c>
      <c r="O117" s="107">
        <v>0</v>
      </c>
      <c r="P117" s="106">
        <f t="shared" si="74"/>
        <v>0</v>
      </c>
      <c r="Q117" s="83">
        <v>74182.649999999994</v>
      </c>
      <c r="R117" s="106">
        <v>29770.39</v>
      </c>
      <c r="S117" s="106">
        <v>44412.26</v>
      </c>
      <c r="T117" s="106">
        <v>0</v>
      </c>
      <c r="U117" s="106">
        <f t="shared" si="128"/>
        <v>-7.2759576141834259E-12</v>
      </c>
      <c r="V117" s="83"/>
      <c r="W117" s="106">
        <v>0</v>
      </c>
      <c r="X117" s="106">
        <v>0</v>
      </c>
      <c r="Y117" s="106">
        <v>0</v>
      </c>
      <c r="Z117" s="106">
        <v>0</v>
      </c>
      <c r="AA117" s="106">
        <f t="shared" si="75"/>
        <v>0</v>
      </c>
      <c r="AB117" s="83">
        <v>750000</v>
      </c>
      <c r="AC117" s="83">
        <v>0</v>
      </c>
      <c r="AD117" s="83">
        <v>0</v>
      </c>
      <c r="AE117" s="83">
        <v>0</v>
      </c>
      <c r="AF117" s="83">
        <v>0</v>
      </c>
      <c r="AG117" s="83">
        <v>0</v>
      </c>
      <c r="AH117" s="108"/>
      <c r="AI117" s="83">
        <v>0</v>
      </c>
      <c r="AJ117" s="83">
        <v>0</v>
      </c>
      <c r="AK117" s="83">
        <v>135880</v>
      </c>
      <c r="AL117" s="83">
        <v>0</v>
      </c>
      <c r="AM117" s="83">
        <v>0</v>
      </c>
      <c r="AN117" s="83">
        <v>327077</v>
      </c>
      <c r="AO117" s="108"/>
      <c r="AP117" s="83">
        <v>1238497.0900000001</v>
      </c>
      <c r="AQ117" s="83">
        <v>0</v>
      </c>
      <c r="AR117" s="83">
        <v>9700</v>
      </c>
      <c r="AS117" s="83">
        <v>0</v>
      </c>
      <c r="AT117" s="83">
        <v>0</v>
      </c>
      <c r="AU117" s="83">
        <v>25578.98</v>
      </c>
      <c r="AV117" s="108"/>
      <c r="AW117" s="83"/>
      <c r="AX117" s="83"/>
      <c r="AY117" s="83"/>
      <c r="AZ117" s="83"/>
      <c r="BA117" s="83"/>
      <c r="BB117" s="83"/>
      <c r="BC117" s="108"/>
    </row>
    <row r="118" spans="1:55">
      <c r="A118" s="80" t="s">
        <v>6</v>
      </c>
      <c r="B118" s="102">
        <v>414</v>
      </c>
      <c r="C118" s="103" t="s">
        <v>170</v>
      </c>
      <c r="D118" s="83">
        <v>0</v>
      </c>
      <c r="E118" s="83">
        <v>0</v>
      </c>
      <c r="F118" s="104">
        <f t="shared" si="71"/>
        <v>0</v>
      </c>
      <c r="G118" s="104">
        <v>0</v>
      </c>
      <c r="H118" s="105">
        <f t="shared" si="118"/>
        <v>0</v>
      </c>
      <c r="I118" s="83">
        <v>0</v>
      </c>
      <c r="J118" s="83">
        <v>0</v>
      </c>
      <c r="K118" s="106">
        <f t="shared" si="72"/>
        <v>0</v>
      </c>
      <c r="L118" s="107">
        <v>0</v>
      </c>
      <c r="M118" s="106">
        <f t="shared" si="73"/>
        <v>0</v>
      </c>
      <c r="N118" s="83">
        <v>28516986.669999998</v>
      </c>
      <c r="O118" s="107">
        <v>28516986.670000002</v>
      </c>
      <c r="P118" s="106">
        <f t="shared" si="74"/>
        <v>0</v>
      </c>
      <c r="Q118" s="83">
        <v>0</v>
      </c>
      <c r="R118" s="106">
        <v>0</v>
      </c>
      <c r="S118" s="106">
        <v>0</v>
      </c>
      <c r="T118" s="106">
        <v>0</v>
      </c>
      <c r="U118" s="106">
        <f t="shared" si="128"/>
        <v>0</v>
      </c>
      <c r="V118" s="83"/>
      <c r="W118" s="106">
        <v>0</v>
      </c>
      <c r="X118" s="106">
        <v>0</v>
      </c>
      <c r="Y118" s="106">
        <v>0</v>
      </c>
      <c r="Z118" s="106">
        <v>0</v>
      </c>
      <c r="AA118" s="106">
        <f t="shared" si="75"/>
        <v>0</v>
      </c>
      <c r="AB118" s="83">
        <v>0</v>
      </c>
      <c r="AC118" s="83">
        <v>0</v>
      </c>
      <c r="AD118" s="83">
        <v>0</v>
      </c>
      <c r="AE118" s="83">
        <v>0</v>
      </c>
      <c r="AF118" s="83">
        <v>43550994.220000006</v>
      </c>
      <c r="AG118" s="83">
        <v>0</v>
      </c>
      <c r="AH118" s="108"/>
      <c r="AI118" s="83">
        <v>0</v>
      </c>
      <c r="AJ118" s="83">
        <v>0</v>
      </c>
      <c r="AK118" s="83">
        <v>0</v>
      </c>
      <c r="AL118" s="83">
        <v>0</v>
      </c>
      <c r="AM118" s="83">
        <v>63194313.160000034</v>
      </c>
      <c r="AN118" s="83">
        <v>0</v>
      </c>
      <c r="AO118" s="108"/>
      <c r="AP118" s="83">
        <v>0</v>
      </c>
      <c r="AQ118" s="83">
        <v>0</v>
      </c>
      <c r="AR118" s="83">
        <v>0</v>
      </c>
      <c r="AS118" s="83">
        <v>0</v>
      </c>
      <c r="AT118" s="83">
        <v>65926791.999999948</v>
      </c>
      <c r="AU118" s="83">
        <v>0</v>
      </c>
      <c r="AV118" s="108"/>
      <c r="AW118" s="83">
        <v>0</v>
      </c>
      <c r="AX118" s="83">
        <v>0</v>
      </c>
      <c r="AY118" s="83">
        <v>0</v>
      </c>
      <c r="AZ118" s="83">
        <v>0</v>
      </c>
      <c r="BA118" s="83">
        <v>49718290.670000024</v>
      </c>
      <c r="BB118" s="83">
        <v>0</v>
      </c>
      <c r="BC118" s="108"/>
    </row>
    <row r="119" spans="1:55">
      <c r="A119" s="80" t="s">
        <v>6</v>
      </c>
      <c r="B119" s="102">
        <v>415</v>
      </c>
      <c r="C119" s="103" t="s">
        <v>171</v>
      </c>
      <c r="D119" s="83">
        <v>0</v>
      </c>
      <c r="E119" s="83">
        <v>0</v>
      </c>
      <c r="F119" s="104">
        <f t="shared" si="71"/>
        <v>0</v>
      </c>
      <c r="G119" s="104">
        <v>0</v>
      </c>
      <c r="H119" s="105">
        <f t="shared" si="118"/>
        <v>0</v>
      </c>
      <c r="I119" s="83">
        <v>0</v>
      </c>
      <c r="J119" s="83">
        <v>0</v>
      </c>
      <c r="K119" s="106">
        <f t="shared" si="72"/>
        <v>0</v>
      </c>
      <c r="L119" s="107">
        <v>0</v>
      </c>
      <c r="M119" s="106">
        <f t="shared" si="73"/>
        <v>0</v>
      </c>
      <c r="N119" s="83">
        <v>0</v>
      </c>
      <c r="O119" s="107">
        <v>0</v>
      </c>
      <c r="P119" s="106">
        <f t="shared" si="74"/>
        <v>0</v>
      </c>
      <c r="Q119" s="83">
        <v>2074129.97</v>
      </c>
      <c r="R119" s="106">
        <v>2074129.97</v>
      </c>
      <c r="S119" s="106">
        <v>0</v>
      </c>
      <c r="T119" s="106">
        <v>0</v>
      </c>
      <c r="U119" s="106">
        <f t="shared" si="128"/>
        <v>0</v>
      </c>
      <c r="V119" s="83"/>
      <c r="W119" s="106">
        <v>0</v>
      </c>
      <c r="X119" s="106">
        <v>0</v>
      </c>
      <c r="Y119" s="106">
        <v>0</v>
      </c>
      <c r="Z119" s="106">
        <v>0</v>
      </c>
      <c r="AA119" s="106">
        <f t="shared" si="75"/>
        <v>0</v>
      </c>
      <c r="AB119" s="83">
        <v>0</v>
      </c>
      <c r="AC119" s="83">
        <v>0</v>
      </c>
      <c r="AD119" s="83">
        <v>0</v>
      </c>
      <c r="AE119" s="83">
        <v>0</v>
      </c>
      <c r="AF119" s="83">
        <v>0</v>
      </c>
      <c r="AG119" s="83">
        <v>2349571.46</v>
      </c>
      <c r="AH119" s="108"/>
      <c r="AI119" s="83">
        <v>0</v>
      </c>
      <c r="AJ119" s="83">
        <v>0</v>
      </c>
      <c r="AK119" s="83">
        <v>0</v>
      </c>
      <c r="AL119" s="83">
        <v>0</v>
      </c>
      <c r="AM119" s="83">
        <v>0</v>
      </c>
      <c r="AN119" s="83">
        <v>2268608.4500000002</v>
      </c>
      <c r="AO119" s="108"/>
      <c r="AP119" s="83">
        <v>0</v>
      </c>
      <c r="AQ119" s="83">
        <v>0</v>
      </c>
      <c r="AR119" s="83">
        <v>0</v>
      </c>
      <c r="AS119" s="83">
        <v>0</v>
      </c>
      <c r="AT119" s="83">
        <v>0</v>
      </c>
      <c r="AU119" s="83">
        <v>2285460.54</v>
      </c>
      <c r="AV119" s="108"/>
      <c r="AW119" s="83">
        <v>0</v>
      </c>
      <c r="AX119" s="83">
        <v>0</v>
      </c>
      <c r="AY119" s="83">
        <v>0</v>
      </c>
      <c r="AZ119" s="83">
        <v>0</v>
      </c>
      <c r="BA119" s="83">
        <v>0</v>
      </c>
      <c r="BB119" s="83">
        <v>1752974.07</v>
      </c>
      <c r="BC119" s="108"/>
    </row>
    <row r="120" spans="1:55">
      <c r="A120" s="80" t="s">
        <v>6</v>
      </c>
      <c r="B120" s="102">
        <v>416</v>
      </c>
      <c r="C120" s="103" t="s">
        <v>172</v>
      </c>
      <c r="D120" s="83">
        <v>0</v>
      </c>
      <c r="E120" s="83">
        <v>0</v>
      </c>
      <c r="F120" s="104">
        <f t="shared" si="71"/>
        <v>0</v>
      </c>
      <c r="G120" s="104">
        <v>0</v>
      </c>
      <c r="H120" s="105">
        <f t="shared" si="118"/>
        <v>0</v>
      </c>
      <c r="I120" s="83">
        <v>0</v>
      </c>
      <c r="J120" s="83">
        <v>0</v>
      </c>
      <c r="K120" s="106">
        <f t="shared" si="72"/>
        <v>0</v>
      </c>
      <c r="L120" s="107">
        <v>0</v>
      </c>
      <c r="M120" s="106">
        <f t="shared" si="73"/>
        <v>0</v>
      </c>
      <c r="N120" s="83">
        <v>445320.06999999995</v>
      </c>
      <c r="O120" s="107">
        <v>445320.07</v>
      </c>
      <c r="P120" s="106">
        <f t="shared" si="74"/>
        <v>0</v>
      </c>
      <c r="Q120" s="83">
        <v>2870338.71</v>
      </c>
      <c r="R120" s="106">
        <v>902000</v>
      </c>
      <c r="S120" s="106">
        <v>6214295.5199999996</v>
      </c>
      <c r="T120" s="106">
        <v>0</v>
      </c>
      <c r="U120" s="106">
        <f t="shared" si="128"/>
        <v>-4245956.8099999996</v>
      </c>
      <c r="V120" s="83"/>
      <c r="W120" s="106">
        <v>0</v>
      </c>
      <c r="X120" s="106">
        <v>0</v>
      </c>
      <c r="Y120" s="106">
        <v>0</v>
      </c>
      <c r="Z120" s="106">
        <v>0</v>
      </c>
      <c r="AA120" s="106">
        <f t="shared" si="75"/>
        <v>0</v>
      </c>
      <c r="AB120" s="83">
        <v>0</v>
      </c>
      <c r="AC120" s="83">
        <v>1002896.73</v>
      </c>
      <c r="AD120" s="83">
        <v>0</v>
      </c>
      <c r="AE120" s="83">
        <v>0</v>
      </c>
      <c r="AF120" s="83">
        <v>571076.3600000001</v>
      </c>
      <c r="AG120" s="83">
        <v>6834951.5800000001</v>
      </c>
      <c r="AH120" s="108"/>
      <c r="AI120" s="83">
        <v>0</v>
      </c>
      <c r="AJ120" s="83">
        <v>2432219.2199999997</v>
      </c>
      <c r="AK120" s="83">
        <v>0</v>
      </c>
      <c r="AL120" s="83">
        <v>0</v>
      </c>
      <c r="AM120" s="83">
        <v>676117.4</v>
      </c>
      <c r="AN120" s="83">
        <v>6086489.0800000001</v>
      </c>
      <c r="AO120" s="108"/>
      <c r="AP120" s="83">
        <v>0</v>
      </c>
      <c r="AQ120" s="83">
        <v>305689.63999999996</v>
      </c>
      <c r="AR120" s="83">
        <v>0</v>
      </c>
      <c r="AS120" s="83">
        <v>0</v>
      </c>
      <c r="AT120" s="83">
        <v>395614.4</v>
      </c>
      <c r="AU120" s="83">
        <v>5969084.96</v>
      </c>
      <c r="AV120" s="108"/>
      <c r="AW120" s="83">
        <v>0</v>
      </c>
      <c r="AX120" s="83">
        <v>3623815.2299999981</v>
      </c>
      <c r="AY120" s="83">
        <v>0</v>
      </c>
      <c r="AZ120" s="83">
        <v>0</v>
      </c>
      <c r="BA120" s="83">
        <v>731963.64999999991</v>
      </c>
      <c r="BB120" s="83">
        <v>3299473.78</v>
      </c>
      <c r="BC120" s="108"/>
    </row>
    <row r="121" spans="1:55">
      <c r="A121" s="80" t="s">
        <v>6</v>
      </c>
      <c r="B121" s="102">
        <v>417</v>
      </c>
      <c r="C121" s="103" t="s">
        <v>173</v>
      </c>
      <c r="D121" s="83">
        <v>0</v>
      </c>
      <c r="E121" s="83">
        <v>0</v>
      </c>
      <c r="F121" s="104">
        <f t="shared" si="71"/>
        <v>0</v>
      </c>
      <c r="G121" s="104">
        <v>0</v>
      </c>
      <c r="H121" s="105">
        <f t="shared" si="118"/>
        <v>0</v>
      </c>
      <c r="I121" s="83">
        <v>0</v>
      </c>
      <c r="J121" s="83">
        <v>0</v>
      </c>
      <c r="K121" s="106">
        <f t="shared" si="72"/>
        <v>0</v>
      </c>
      <c r="L121" s="107">
        <v>0</v>
      </c>
      <c r="M121" s="106">
        <f t="shared" si="73"/>
        <v>0</v>
      </c>
      <c r="N121" s="83">
        <v>9479561.5799999945</v>
      </c>
      <c r="O121" s="107">
        <v>9479561.5800000001</v>
      </c>
      <c r="P121" s="106">
        <f t="shared" si="74"/>
        <v>0</v>
      </c>
      <c r="Q121" s="83">
        <v>0</v>
      </c>
      <c r="R121" s="106">
        <v>0</v>
      </c>
      <c r="S121" s="106">
        <v>0</v>
      </c>
      <c r="T121" s="106">
        <v>0</v>
      </c>
      <c r="U121" s="106">
        <f t="shared" si="128"/>
        <v>0</v>
      </c>
      <c r="V121" s="83"/>
      <c r="W121" s="106">
        <v>0</v>
      </c>
      <c r="X121" s="106">
        <v>0</v>
      </c>
      <c r="Y121" s="106">
        <v>0</v>
      </c>
      <c r="Z121" s="106">
        <v>0</v>
      </c>
      <c r="AA121" s="106">
        <f t="shared" si="75"/>
        <v>0</v>
      </c>
      <c r="AB121" s="83">
        <v>0</v>
      </c>
      <c r="AC121" s="83">
        <v>0</v>
      </c>
      <c r="AD121" s="83">
        <v>0</v>
      </c>
      <c r="AE121" s="83">
        <v>0</v>
      </c>
      <c r="AF121" s="83">
        <v>2409867.2600000002</v>
      </c>
      <c r="AG121" s="83">
        <v>0</v>
      </c>
      <c r="AH121" s="108"/>
      <c r="AI121" s="83">
        <v>0</v>
      </c>
      <c r="AJ121" s="83">
        <v>0</v>
      </c>
      <c r="AK121" s="83">
        <v>0</v>
      </c>
      <c r="AL121" s="83">
        <v>0</v>
      </c>
      <c r="AM121" s="83">
        <v>2859254.99</v>
      </c>
      <c r="AN121" s="83">
        <v>0</v>
      </c>
      <c r="AO121" s="108"/>
      <c r="AP121" s="83">
        <v>0</v>
      </c>
      <c r="AQ121" s="83">
        <v>0</v>
      </c>
      <c r="AR121" s="83">
        <v>0</v>
      </c>
      <c r="AS121" s="83">
        <v>0</v>
      </c>
      <c r="AT121" s="83">
        <v>3938662.81</v>
      </c>
      <c r="AU121" s="83">
        <v>0</v>
      </c>
      <c r="AV121" s="108"/>
      <c r="AW121" s="83">
        <v>0</v>
      </c>
      <c r="AX121" s="83">
        <v>0</v>
      </c>
      <c r="AY121" s="83">
        <v>0</v>
      </c>
      <c r="AZ121" s="83">
        <v>0</v>
      </c>
      <c r="BA121" s="83">
        <v>2699538.0899999994</v>
      </c>
      <c r="BB121" s="83">
        <v>0</v>
      </c>
      <c r="BC121" s="108"/>
    </row>
    <row r="122" spans="1:55">
      <c r="A122" s="80" t="s">
        <v>6</v>
      </c>
      <c r="B122" s="102">
        <v>419</v>
      </c>
      <c r="C122" s="103" t="s">
        <v>174</v>
      </c>
      <c r="D122" s="83">
        <v>1740</v>
      </c>
      <c r="E122" s="83">
        <v>0</v>
      </c>
      <c r="F122" s="104">
        <f t="shared" si="71"/>
        <v>1740</v>
      </c>
      <c r="G122" s="104">
        <v>1740</v>
      </c>
      <c r="H122" s="105">
        <f t="shared" si="118"/>
        <v>0</v>
      </c>
      <c r="I122" s="83">
        <v>0</v>
      </c>
      <c r="J122" s="83">
        <v>0</v>
      </c>
      <c r="K122" s="106">
        <f t="shared" si="72"/>
        <v>0</v>
      </c>
      <c r="L122" s="107">
        <v>0</v>
      </c>
      <c r="M122" s="106">
        <f t="shared" si="73"/>
        <v>0</v>
      </c>
      <c r="N122" s="83">
        <v>196.99</v>
      </c>
      <c r="O122" s="107">
        <v>196.99</v>
      </c>
      <c r="P122" s="106">
        <f t="shared" si="74"/>
        <v>0</v>
      </c>
      <c r="Q122" s="83">
        <v>401674.75</v>
      </c>
      <c r="R122" s="106">
        <v>89280</v>
      </c>
      <c r="S122" s="106">
        <v>279283.8</v>
      </c>
      <c r="T122" s="106">
        <v>33110.949999999997</v>
      </c>
      <c r="U122" s="106">
        <f t="shared" si="128"/>
        <v>0</v>
      </c>
      <c r="V122" s="83"/>
      <c r="W122" s="106">
        <v>0</v>
      </c>
      <c r="X122" s="106">
        <v>0</v>
      </c>
      <c r="Y122" s="106">
        <v>0</v>
      </c>
      <c r="Z122" s="106">
        <v>0</v>
      </c>
      <c r="AA122" s="106">
        <f t="shared" si="75"/>
        <v>0</v>
      </c>
      <c r="AB122" s="83">
        <v>0</v>
      </c>
      <c r="AC122" s="83">
        <v>0</v>
      </c>
      <c r="AD122" s="83">
        <v>0</v>
      </c>
      <c r="AE122" s="83">
        <v>0</v>
      </c>
      <c r="AF122" s="83">
        <v>0</v>
      </c>
      <c r="AG122" s="83">
        <v>246966.30000000002</v>
      </c>
      <c r="AH122" s="108"/>
      <c r="AI122" s="83">
        <v>0</v>
      </c>
      <c r="AJ122" s="83">
        <v>0</v>
      </c>
      <c r="AK122" s="83">
        <v>0</v>
      </c>
      <c r="AL122" s="83">
        <v>650</v>
      </c>
      <c r="AM122" s="83">
        <v>979</v>
      </c>
      <c r="AN122" s="83">
        <v>208130.99</v>
      </c>
      <c r="AO122" s="108"/>
      <c r="AP122" s="83">
        <v>0</v>
      </c>
      <c r="AQ122" s="83">
        <v>560</v>
      </c>
      <c r="AR122" s="83">
        <v>0</v>
      </c>
      <c r="AS122" s="83">
        <v>0</v>
      </c>
      <c r="AT122" s="83">
        <v>0</v>
      </c>
      <c r="AU122" s="83">
        <v>25895.9</v>
      </c>
      <c r="AV122" s="108"/>
      <c r="AW122" s="83">
        <v>0</v>
      </c>
      <c r="AX122" s="83">
        <v>0</v>
      </c>
      <c r="AY122" s="83">
        <v>0</v>
      </c>
      <c r="AZ122" s="83">
        <v>0</v>
      </c>
      <c r="BA122" s="83">
        <v>400</v>
      </c>
      <c r="BB122" s="83">
        <v>91506</v>
      </c>
      <c r="BC122" s="108"/>
    </row>
    <row r="123" spans="1:55">
      <c r="A123" s="80" t="s">
        <v>6</v>
      </c>
      <c r="B123" s="102">
        <v>421</v>
      </c>
      <c r="C123" s="103" t="s">
        <v>175</v>
      </c>
      <c r="D123" s="83">
        <v>1313422.9400000002</v>
      </c>
      <c r="E123" s="83">
        <v>0</v>
      </c>
      <c r="F123" s="104">
        <f t="shared" si="71"/>
        <v>1313422.9400000002</v>
      </c>
      <c r="G123" s="104">
        <v>1313422.94</v>
      </c>
      <c r="H123" s="105">
        <f t="shared" si="118"/>
        <v>0</v>
      </c>
      <c r="I123" s="83">
        <v>0</v>
      </c>
      <c r="J123" s="83">
        <v>0</v>
      </c>
      <c r="K123" s="106">
        <f t="shared" si="72"/>
        <v>0</v>
      </c>
      <c r="L123" s="107">
        <v>0</v>
      </c>
      <c r="M123" s="106">
        <f t="shared" si="73"/>
        <v>0</v>
      </c>
      <c r="N123" s="83">
        <v>0</v>
      </c>
      <c r="O123" s="107">
        <v>0</v>
      </c>
      <c r="P123" s="106">
        <f t="shared" si="74"/>
        <v>0</v>
      </c>
      <c r="Q123" s="83">
        <v>0</v>
      </c>
      <c r="R123" s="106">
        <v>0</v>
      </c>
      <c r="S123" s="106">
        <v>0</v>
      </c>
      <c r="T123" s="106">
        <v>0</v>
      </c>
      <c r="U123" s="106">
        <f t="shared" si="128"/>
        <v>0</v>
      </c>
      <c r="V123" s="83"/>
      <c r="W123" s="106">
        <v>0</v>
      </c>
      <c r="X123" s="106">
        <v>0</v>
      </c>
      <c r="Y123" s="106">
        <v>2134206.06</v>
      </c>
      <c r="Z123" s="106">
        <v>0</v>
      </c>
      <c r="AA123" s="106">
        <f t="shared" si="75"/>
        <v>-2134206.06</v>
      </c>
      <c r="AB123" s="83">
        <v>1248579.54</v>
      </c>
      <c r="AC123" s="83">
        <v>0</v>
      </c>
      <c r="AD123" s="83">
        <v>0</v>
      </c>
      <c r="AE123" s="83">
        <v>0</v>
      </c>
      <c r="AF123" s="83">
        <v>0</v>
      </c>
      <c r="AG123" s="83">
        <v>0</v>
      </c>
      <c r="AH123" s="108"/>
      <c r="AI123" s="83">
        <v>1220832.3500000001</v>
      </c>
      <c r="AJ123" s="83">
        <v>0</v>
      </c>
      <c r="AK123" s="83">
        <v>0</v>
      </c>
      <c r="AL123" s="83">
        <v>0</v>
      </c>
      <c r="AM123" s="83">
        <v>0</v>
      </c>
      <c r="AN123" s="83">
        <v>0</v>
      </c>
      <c r="AO123" s="108"/>
      <c r="AP123" s="83">
        <v>1409017.2300000002</v>
      </c>
      <c r="AQ123" s="83">
        <v>0</v>
      </c>
      <c r="AR123" s="83">
        <v>0</v>
      </c>
      <c r="AS123" s="83">
        <v>0</v>
      </c>
      <c r="AT123" s="83">
        <v>0</v>
      </c>
      <c r="AU123" s="83">
        <v>0</v>
      </c>
      <c r="AV123" s="108"/>
      <c r="AW123" s="83">
        <v>1867193.7300000002</v>
      </c>
      <c r="AX123" s="83">
        <v>0</v>
      </c>
      <c r="AY123" s="83">
        <v>0</v>
      </c>
      <c r="AZ123" s="83">
        <v>0</v>
      </c>
      <c r="BA123" s="83">
        <v>0</v>
      </c>
      <c r="BB123" s="83">
        <v>0</v>
      </c>
      <c r="BC123" s="108"/>
    </row>
    <row r="124" spans="1:55">
      <c r="A124" s="80" t="s">
        <v>6</v>
      </c>
      <c r="B124" s="102">
        <v>956</v>
      </c>
      <c r="C124" s="103" t="s">
        <v>176</v>
      </c>
      <c r="D124" s="83">
        <v>0</v>
      </c>
      <c r="E124" s="83">
        <v>0</v>
      </c>
      <c r="F124" s="104">
        <f t="shared" si="71"/>
        <v>0</v>
      </c>
      <c r="G124" s="104">
        <v>0</v>
      </c>
      <c r="H124" s="105">
        <f t="shared" si="118"/>
        <v>0</v>
      </c>
      <c r="I124" s="83">
        <v>0</v>
      </c>
      <c r="J124" s="83">
        <v>0</v>
      </c>
      <c r="K124" s="106">
        <f t="shared" si="72"/>
        <v>0</v>
      </c>
      <c r="L124" s="107">
        <v>0</v>
      </c>
      <c r="M124" s="106">
        <f t="shared" si="73"/>
        <v>0</v>
      </c>
      <c r="N124" s="83">
        <v>0</v>
      </c>
      <c r="O124" s="107">
        <v>0</v>
      </c>
      <c r="P124" s="106">
        <f t="shared" si="74"/>
        <v>0</v>
      </c>
      <c r="Q124" s="83">
        <v>0</v>
      </c>
      <c r="R124" s="106">
        <v>0</v>
      </c>
      <c r="S124" s="106">
        <v>0</v>
      </c>
      <c r="T124" s="106">
        <v>0</v>
      </c>
      <c r="U124" s="106">
        <f t="shared" si="128"/>
        <v>0</v>
      </c>
      <c r="V124" s="83">
        <v>2134206.06</v>
      </c>
      <c r="W124" s="106">
        <v>0</v>
      </c>
      <c r="X124" s="106">
        <v>0</v>
      </c>
      <c r="Y124" s="106">
        <v>826340.08</v>
      </c>
      <c r="Z124" s="106">
        <v>0</v>
      </c>
      <c r="AA124" s="106">
        <f t="shared" si="75"/>
        <v>1307865.98</v>
      </c>
      <c r="AB124" s="83">
        <v>0</v>
      </c>
      <c r="AC124" s="83">
        <v>0</v>
      </c>
      <c r="AD124" s="83"/>
      <c r="AE124" s="83">
        <v>0</v>
      </c>
      <c r="AF124" s="83">
        <v>0</v>
      </c>
      <c r="AG124" s="83">
        <v>0</v>
      </c>
      <c r="AH124" s="108">
        <v>77490.909999999974</v>
      </c>
      <c r="AI124" s="83">
        <v>0</v>
      </c>
      <c r="AJ124" s="83">
        <v>0</v>
      </c>
      <c r="AK124" s="83">
        <v>0</v>
      </c>
      <c r="AL124" s="83">
        <v>0</v>
      </c>
      <c r="AM124" s="83">
        <v>0</v>
      </c>
      <c r="AN124" s="83">
        <v>0</v>
      </c>
      <c r="AO124" s="108">
        <v>28747871.829999998</v>
      </c>
      <c r="AP124" s="83">
        <v>0</v>
      </c>
      <c r="AQ124" s="83">
        <v>0</v>
      </c>
      <c r="AR124" s="83">
        <v>0</v>
      </c>
      <c r="AS124" s="83">
        <v>0</v>
      </c>
      <c r="AT124" s="83">
        <v>0</v>
      </c>
      <c r="AU124" s="83">
        <v>0</v>
      </c>
      <c r="AV124" s="108">
        <v>37711486.710000001</v>
      </c>
      <c r="AW124" s="83">
        <v>0</v>
      </c>
      <c r="AX124" s="83">
        <v>0</v>
      </c>
      <c r="AY124" s="83">
        <v>0</v>
      </c>
      <c r="AZ124" s="83">
        <v>0</v>
      </c>
      <c r="BA124" s="83">
        <v>0</v>
      </c>
      <c r="BB124" s="83">
        <v>0</v>
      </c>
      <c r="BC124" s="108">
        <v>4433122.8</v>
      </c>
    </row>
    <row r="125" spans="1:55">
      <c r="A125" s="80" t="s">
        <v>6</v>
      </c>
      <c r="B125" s="102">
        <v>957</v>
      </c>
      <c r="C125" s="103" t="s">
        <v>177</v>
      </c>
      <c r="D125" s="83">
        <v>0</v>
      </c>
      <c r="E125" s="83">
        <v>0</v>
      </c>
      <c r="F125" s="104">
        <f t="shared" si="71"/>
        <v>0</v>
      </c>
      <c r="G125" s="104">
        <v>0</v>
      </c>
      <c r="H125" s="105">
        <f t="shared" si="118"/>
        <v>0</v>
      </c>
      <c r="I125" s="83">
        <v>0</v>
      </c>
      <c r="J125" s="83"/>
      <c r="K125" s="106">
        <f t="shared" si="72"/>
        <v>0</v>
      </c>
      <c r="L125" s="107">
        <v>0</v>
      </c>
      <c r="M125" s="106">
        <f t="shared" si="73"/>
        <v>0</v>
      </c>
      <c r="N125" s="83">
        <v>0</v>
      </c>
      <c r="O125" s="107">
        <v>0</v>
      </c>
      <c r="P125" s="106">
        <f t="shared" si="74"/>
        <v>0</v>
      </c>
      <c r="Q125" s="83"/>
      <c r="R125" s="106">
        <v>0</v>
      </c>
      <c r="S125" s="106">
        <v>0</v>
      </c>
      <c r="T125" s="106">
        <v>0</v>
      </c>
      <c r="U125" s="106">
        <f t="shared" si="128"/>
        <v>0</v>
      </c>
      <c r="V125" s="83">
        <v>0</v>
      </c>
      <c r="W125" s="106">
        <v>0</v>
      </c>
      <c r="X125" s="106">
        <v>0</v>
      </c>
      <c r="Y125" s="106">
        <v>2044847.09</v>
      </c>
      <c r="Z125" s="106">
        <v>0</v>
      </c>
      <c r="AA125" s="106">
        <f t="shared" si="75"/>
        <v>-2044847.09</v>
      </c>
      <c r="AB125" s="83">
        <v>0</v>
      </c>
      <c r="AC125" s="83"/>
      <c r="AD125" s="83"/>
      <c r="AE125" s="83"/>
      <c r="AF125" s="83"/>
      <c r="AG125" s="83"/>
      <c r="AH125" s="108">
        <v>0</v>
      </c>
      <c r="AI125" s="83">
        <v>0</v>
      </c>
      <c r="AJ125" s="83">
        <v>0</v>
      </c>
      <c r="AK125" s="83">
        <v>0</v>
      </c>
      <c r="AL125" s="83">
        <v>0</v>
      </c>
      <c r="AM125" s="83">
        <v>0</v>
      </c>
      <c r="AN125" s="83">
        <v>0</v>
      </c>
      <c r="AO125" s="108">
        <v>19153848.039999999</v>
      </c>
      <c r="AP125" s="83">
        <v>0</v>
      </c>
      <c r="AQ125" s="83">
        <v>0</v>
      </c>
      <c r="AR125" s="83">
        <v>0</v>
      </c>
      <c r="AS125" s="83">
        <v>0</v>
      </c>
      <c r="AT125" s="83">
        <v>0</v>
      </c>
      <c r="AU125" s="83">
        <v>0</v>
      </c>
      <c r="AV125" s="108">
        <v>-3048431.79</v>
      </c>
      <c r="AW125" s="83">
        <v>0</v>
      </c>
      <c r="AX125" s="83">
        <v>0</v>
      </c>
      <c r="AY125" s="83">
        <v>0</v>
      </c>
      <c r="AZ125" s="83">
        <v>0</v>
      </c>
      <c r="BA125" s="83">
        <v>0</v>
      </c>
      <c r="BB125" s="83">
        <v>0</v>
      </c>
      <c r="BC125" s="108">
        <v>-2751641.5999999996</v>
      </c>
    </row>
    <row r="126" spans="1:55">
      <c r="A126" s="80" t="s">
        <v>6</v>
      </c>
      <c r="B126" s="102">
        <v>959</v>
      </c>
      <c r="C126" s="103" t="s">
        <v>178</v>
      </c>
      <c r="D126" s="83">
        <v>0</v>
      </c>
      <c r="E126" s="83">
        <v>0</v>
      </c>
      <c r="F126" s="104">
        <f t="shared" si="71"/>
        <v>0</v>
      </c>
      <c r="G126" s="104">
        <v>0</v>
      </c>
      <c r="H126" s="105">
        <f t="shared" si="118"/>
        <v>0</v>
      </c>
      <c r="I126" s="83">
        <v>0</v>
      </c>
      <c r="J126" s="83">
        <v>0</v>
      </c>
      <c r="K126" s="106">
        <f t="shared" si="72"/>
        <v>0</v>
      </c>
      <c r="L126" s="107">
        <v>0</v>
      </c>
      <c r="M126" s="106">
        <f t="shared" si="73"/>
        <v>0</v>
      </c>
      <c r="N126" s="83">
        <v>0</v>
      </c>
      <c r="O126" s="107">
        <v>0</v>
      </c>
      <c r="P126" s="106">
        <f t="shared" si="74"/>
        <v>0</v>
      </c>
      <c r="Q126" s="83">
        <v>0</v>
      </c>
      <c r="R126" s="106">
        <v>0</v>
      </c>
      <c r="S126" s="106">
        <v>0</v>
      </c>
      <c r="T126" s="106">
        <v>0</v>
      </c>
      <c r="U126" s="106">
        <f t="shared" si="128"/>
        <v>0</v>
      </c>
      <c r="V126" s="83">
        <v>2044847.09</v>
      </c>
      <c r="W126" s="106">
        <v>0</v>
      </c>
      <c r="X126" s="106">
        <v>0</v>
      </c>
      <c r="Y126" s="106">
        <v>0</v>
      </c>
      <c r="Z126" s="106">
        <v>45657211.210000001</v>
      </c>
      <c r="AA126" s="106">
        <f t="shared" si="75"/>
        <v>-43612364.119999997</v>
      </c>
      <c r="AB126" s="83">
        <v>0</v>
      </c>
      <c r="AC126" s="83">
        <v>0</v>
      </c>
      <c r="AD126" s="83">
        <v>0</v>
      </c>
      <c r="AE126" s="83">
        <v>0</v>
      </c>
      <c r="AF126" s="83">
        <v>0</v>
      </c>
      <c r="AG126" s="83">
        <v>0</v>
      </c>
      <c r="AH126" s="108">
        <v>3829046.38</v>
      </c>
      <c r="AI126" s="83">
        <v>0</v>
      </c>
      <c r="AJ126" s="83">
        <v>0</v>
      </c>
      <c r="AK126" s="83">
        <v>0</v>
      </c>
      <c r="AL126" s="83">
        <v>0</v>
      </c>
      <c r="AM126" s="83">
        <v>0</v>
      </c>
      <c r="AN126" s="83">
        <v>0</v>
      </c>
      <c r="AO126" s="108">
        <v>5657953.7199999997</v>
      </c>
      <c r="AP126" s="83">
        <v>0</v>
      </c>
      <c r="AQ126" s="83">
        <v>0</v>
      </c>
      <c r="AR126" s="83">
        <v>0</v>
      </c>
      <c r="AS126" s="83">
        <v>0</v>
      </c>
      <c r="AT126" s="83">
        <v>0</v>
      </c>
      <c r="AU126" s="83">
        <v>0</v>
      </c>
      <c r="AV126" s="108">
        <v>3378424.31</v>
      </c>
      <c r="AW126" s="83">
        <v>0</v>
      </c>
      <c r="AX126" s="83">
        <v>0</v>
      </c>
      <c r="AY126" s="83">
        <v>0</v>
      </c>
      <c r="AZ126" s="83">
        <v>0</v>
      </c>
      <c r="BA126" s="83">
        <v>0</v>
      </c>
      <c r="BB126" s="83">
        <v>0</v>
      </c>
      <c r="BC126" s="108">
        <v>2338183.34</v>
      </c>
    </row>
    <row r="127" spans="1:55">
      <c r="A127" s="80" t="s">
        <v>6</v>
      </c>
      <c r="B127" s="102">
        <v>611</v>
      </c>
      <c r="C127" s="103" t="s">
        <v>137</v>
      </c>
      <c r="D127" s="83">
        <v>0</v>
      </c>
      <c r="E127" s="83">
        <v>0</v>
      </c>
      <c r="F127" s="104">
        <f t="shared" si="71"/>
        <v>0</v>
      </c>
      <c r="G127" s="104">
        <v>0</v>
      </c>
      <c r="H127" s="105">
        <f t="shared" si="118"/>
        <v>0</v>
      </c>
      <c r="I127" s="83">
        <v>0</v>
      </c>
      <c r="J127" s="83">
        <v>0</v>
      </c>
      <c r="K127" s="106">
        <f t="shared" si="72"/>
        <v>0</v>
      </c>
      <c r="L127" s="107">
        <v>0</v>
      </c>
      <c r="M127" s="106">
        <f t="shared" si="73"/>
        <v>0</v>
      </c>
      <c r="N127" s="83">
        <v>26960352.039999999</v>
      </c>
      <c r="O127" s="107">
        <v>26960352.039999999</v>
      </c>
      <c r="P127" s="106">
        <f t="shared" si="74"/>
        <v>0</v>
      </c>
      <c r="Q127" s="83">
        <v>0</v>
      </c>
      <c r="R127" s="106">
        <v>2378335.71</v>
      </c>
      <c r="S127" s="106">
        <v>0</v>
      </c>
      <c r="T127" s="106">
        <v>16318523.460000001</v>
      </c>
      <c r="U127" s="106">
        <f t="shared" si="128"/>
        <v>-18696859.170000002</v>
      </c>
      <c r="V127" s="83"/>
      <c r="W127" s="106">
        <v>0</v>
      </c>
      <c r="X127" s="106">
        <v>0</v>
      </c>
      <c r="Y127" s="106">
        <v>0</v>
      </c>
      <c r="Z127" s="106">
        <v>0</v>
      </c>
      <c r="AA127" s="106">
        <f t="shared" si="75"/>
        <v>0</v>
      </c>
      <c r="AB127" s="83">
        <v>0</v>
      </c>
      <c r="AC127" s="83">
        <v>0</v>
      </c>
      <c r="AD127" s="83">
        <v>0</v>
      </c>
      <c r="AE127" s="83">
        <v>0</v>
      </c>
      <c r="AF127" s="83">
        <v>22805608.670000002</v>
      </c>
      <c r="AG127" s="83">
        <v>0</v>
      </c>
      <c r="AH127" s="108"/>
      <c r="AI127" s="83">
        <v>0</v>
      </c>
      <c r="AJ127" s="83">
        <v>0</v>
      </c>
      <c r="AK127" s="83">
        <v>0</v>
      </c>
      <c r="AL127" s="83">
        <v>0</v>
      </c>
      <c r="AM127" s="83">
        <v>16600039</v>
      </c>
      <c r="AN127" s="83">
        <v>0</v>
      </c>
      <c r="AO127" s="108"/>
      <c r="AP127" s="83">
        <v>0</v>
      </c>
      <c r="AQ127" s="83">
        <v>0</v>
      </c>
      <c r="AR127" s="83">
        <v>0</v>
      </c>
      <c r="AS127" s="83">
        <v>0</v>
      </c>
      <c r="AT127" s="83">
        <v>4.1557995933416692E-9</v>
      </c>
      <c r="AU127" s="83">
        <v>0</v>
      </c>
      <c r="AV127" s="108"/>
      <c r="AW127" s="83"/>
      <c r="AX127" s="83"/>
      <c r="AY127" s="83"/>
      <c r="AZ127" s="83"/>
      <c r="BA127" s="83"/>
      <c r="BB127" s="83">
        <v>0</v>
      </c>
      <c r="BC127" s="108"/>
    </row>
    <row r="128" spans="1:55">
      <c r="A128" s="80" t="s">
        <v>6</v>
      </c>
      <c r="B128" s="102">
        <v>615</v>
      </c>
      <c r="C128" s="103" t="s">
        <v>138</v>
      </c>
      <c r="D128" s="83"/>
      <c r="E128" s="83"/>
      <c r="F128" s="104">
        <f t="shared" si="71"/>
        <v>0</v>
      </c>
      <c r="G128" s="104">
        <v>0</v>
      </c>
      <c r="H128" s="105">
        <f t="shared" si="118"/>
        <v>0</v>
      </c>
      <c r="I128" s="83"/>
      <c r="J128" s="83"/>
      <c r="K128" s="106">
        <f t="shared" si="72"/>
        <v>0</v>
      </c>
      <c r="L128" s="107">
        <v>0</v>
      </c>
      <c r="M128" s="106">
        <f t="shared" si="73"/>
        <v>0</v>
      </c>
      <c r="N128" s="83"/>
      <c r="O128" s="107">
        <v>0</v>
      </c>
      <c r="P128" s="106">
        <f t="shared" si="74"/>
        <v>0</v>
      </c>
      <c r="Q128" s="83"/>
      <c r="R128" s="106">
        <v>252462988.86000001</v>
      </c>
      <c r="S128" s="106">
        <v>0</v>
      </c>
      <c r="T128" s="106">
        <v>252462988.86000001</v>
      </c>
      <c r="U128" s="106">
        <f t="shared" si="128"/>
        <v>-504925977.72000003</v>
      </c>
      <c r="V128" s="83"/>
      <c r="W128" s="106">
        <v>0</v>
      </c>
      <c r="X128" s="106">
        <v>0</v>
      </c>
      <c r="Y128" s="106">
        <v>0</v>
      </c>
      <c r="Z128" s="106">
        <v>105435149.39</v>
      </c>
      <c r="AA128" s="106">
        <f t="shared" si="75"/>
        <v>-105435149.39</v>
      </c>
      <c r="AB128" s="83">
        <v>389997.43</v>
      </c>
      <c r="AC128" s="83">
        <v>0</v>
      </c>
      <c r="AD128" s="83">
        <v>0</v>
      </c>
      <c r="AE128" s="83">
        <v>0</v>
      </c>
      <c r="AF128" s="83">
        <v>0</v>
      </c>
      <c r="AG128" s="83">
        <v>0</v>
      </c>
      <c r="AH128" s="108"/>
      <c r="AI128" s="83">
        <v>399953.84</v>
      </c>
      <c r="AJ128" s="83">
        <v>0</v>
      </c>
      <c r="AK128" s="83">
        <v>0</v>
      </c>
      <c r="AL128" s="83">
        <v>0</v>
      </c>
      <c r="AM128" s="83">
        <v>0</v>
      </c>
      <c r="AN128" s="83">
        <v>0</v>
      </c>
      <c r="AO128" s="108"/>
      <c r="AP128" s="83">
        <v>0</v>
      </c>
      <c r="AQ128" s="83">
        <v>0</v>
      </c>
      <c r="AR128" s="83">
        <v>0</v>
      </c>
      <c r="AS128" s="83">
        <v>0</v>
      </c>
      <c r="AT128" s="83">
        <v>0</v>
      </c>
      <c r="AU128" s="83"/>
      <c r="AV128" s="108"/>
      <c r="AW128" s="83">
        <v>0</v>
      </c>
      <c r="AX128" s="83">
        <v>0</v>
      </c>
      <c r="AY128" s="83">
        <v>0</v>
      </c>
      <c r="AZ128" s="83">
        <v>0</v>
      </c>
      <c r="BA128" s="83">
        <v>0</v>
      </c>
      <c r="BB128" s="83"/>
      <c r="BC128" s="108"/>
    </row>
    <row r="129" spans="1:55">
      <c r="A129" s="80" t="s">
        <v>6</v>
      </c>
      <c r="B129" s="102">
        <v>660</v>
      </c>
      <c r="C129" s="103" t="s">
        <v>139</v>
      </c>
      <c r="D129" s="83">
        <v>44488534.409999929</v>
      </c>
      <c r="E129" s="83">
        <v>17531640.660000015</v>
      </c>
      <c r="F129" s="104">
        <f t="shared" si="71"/>
        <v>62020175.069999948</v>
      </c>
      <c r="G129" s="104">
        <v>62498313.390000001</v>
      </c>
      <c r="H129" s="105">
        <f t="shared" si="118"/>
        <v>-478138.32000005245</v>
      </c>
      <c r="I129" s="83">
        <v>0</v>
      </c>
      <c r="J129" s="83">
        <v>21431610.799999993</v>
      </c>
      <c r="K129" s="106">
        <f t="shared" si="72"/>
        <v>21431610.799999993</v>
      </c>
      <c r="L129" s="107">
        <v>21431610.800000001</v>
      </c>
      <c r="M129" s="106">
        <f t="shared" si="73"/>
        <v>0</v>
      </c>
      <c r="N129" s="83">
        <v>0</v>
      </c>
      <c r="O129" s="107">
        <v>0</v>
      </c>
      <c r="P129" s="106">
        <f t="shared" si="74"/>
        <v>0</v>
      </c>
      <c r="Q129" s="83">
        <v>0</v>
      </c>
      <c r="R129" s="106">
        <v>4938259.82</v>
      </c>
      <c r="S129" s="106">
        <v>310418.74</v>
      </c>
      <c r="T129" s="106">
        <v>9762224.5600000005</v>
      </c>
      <c r="U129" s="106">
        <f t="shared" si="128"/>
        <v>-15010903.120000001</v>
      </c>
      <c r="V129" s="83"/>
      <c r="W129" s="106">
        <v>0</v>
      </c>
      <c r="X129" s="106">
        <v>0</v>
      </c>
      <c r="Y129" s="106">
        <v>0</v>
      </c>
      <c r="Z129" s="106">
        <v>5909730.6500000004</v>
      </c>
      <c r="AA129" s="106">
        <f t="shared" si="75"/>
        <v>-5909730.6500000004</v>
      </c>
      <c r="AB129" s="83">
        <v>49293724.589999981</v>
      </c>
      <c r="AC129" s="83">
        <v>22285433.620000016</v>
      </c>
      <c r="AD129" s="83">
        <v>0</v>
      </c>
      <c r="AE129" s="83">
        <v>26961596.380000021</v>
      </c>
      <c r="AF129" s="83">
        <v>0</v>
      </c>
      <c r="AG129" s="83"/>
      <c r="AH129" s="108"/>
      <c r="AI129" s="83">
        <v>52847539.720000036</v>
      </c>
      <c r="AJ129" s="83">
        <v>28318740.660000011</v>
      </c>
      <c r="AK129" s="83">
        <v>0</v>
      </c>
      <c r="AL129" s="83">
        <v>35839308.359999985</v>
      </c>
      <c r="AM129" s="83">
        <v>0</v>
      </c>
      <c r="AN129" s="83"/>
      <c r="AO129" s="108"/>
      <c r="AP129" s="83">
        <v>37583862.129999973</v>
      </c>
      <c r="AQ129" s="83">
        <v>20852289.990000021</v>
      </c>
      <c r="AR129" s="83">
        <v>0</v>
      </c>
      <c r="AS129" s="83">
        <v>34061670.13000001</v>
      </c>
      <c r="AT129" s="83">
        <v>0</v>
      </c>
      <c r="AU129" s="83"/>
      <c r="AV129" s="108"/>
      <c r="AW129" s="83">
        <v>30961004.450000018</v>
      </c>
      <c r="AX129" s="83">
        <v>18301184.519999985</v>
      </c>
      <c r="AY129" s="83">
        <v>0</v>
      </c>
      <c r="AZ129" s="83">
        <v>26326091.820000019</v>
      </c>
      <c r="BA129" s="83">
        <v>0</v>
      </c>
      <c r="BB129" s="83"/>
      <c r="BC129" s="108"/>
    </row>
    <row r="130" spans="1:55">
      <c r="A130" s="80" t="s">
        <v>6</v>
      </c>
      <c r="B130" s="102">
        <v>661</v>
      </c>
      <c r="C130" s="103" t="s">
        <v>140</v>
      </c>
      <c r="D130" s="83"/>
      <c r="E130" s="83"/>
      <c r="F130" s="104">
        <f t="shared" si="71"/>
        <v>0</v>
      </c>
      <c r="G130" s="104">
        <v>0</v>
      </c>
      <c r="H130" s="105">
        <f t="shared" si="118"/>
        <v>0</v>
      </c>
      <c r="I130" s="83"/>
      <c r="J130" s="83">
        <v>0</v>
      </c>
      <c r="K130" s="106">
        <f t="shared" si="72"/>
        <v>0</v>
      </c>
      <c r="L130" s="107">
        <v>0</v>
      </c>
      <c r="M130" s="106">
        <f t="shared" si="73"/>
        <v>0</v>
      </c>
      <c r="N130" s="83">
        <v>142782</v>
      </c>
      <c r="O130" s="107">
        <v>142782</v>
      </c>
      <c r="P130" s="106">
        <f t="shared" si="74"/>
        <v>0</v>
      </c>
      <c r="Q130" s="83">
        <v>0</v>
      </c>
      <c r="R130" s="106">
        <v>4331317.78</v>
      </c>
      <c r="S130" s="106">
        <v>0</v>
      </c>
      <c r="T130" s="106">
        <v>1026145.87</v>
      </c>
      <c r="U130" s="106">
        <f t="shared" si="128"/>
        <v>-5357463.6500000004</v>
      </c>
      <c r="V130" s="83"/>
      <c r="W130" s="106">
        <v>0</v>
      </c>
      <c r="X130" s="106">
        <v>0</v>
      </c>
      <c r="Y130" s="106">
        <v>0</v>
      </c>
      <c r="Z130" s="106">
        <v>34388004.659999996</v>
      </c>
      <c r="AA130" s="106">
        <f t="shared" si="75"/>
        <v>-34388004.659999996</v>
      </c>
      <c r="AB130" s="83">
        <v>0</v>
      </c>
      <c r="AC130" s="83">
        <v>0</v>
      </c>
      <c r="AD130" s="83">
        <v>0</v>
      </c>
      <c r="AE130" s="83">
        <v>0</v>
      </c>
      <c r="AF130" s="83">
        <v>0</v>
      </c>
      <c r="AG130" s="83"/>
      <c r="AH130" s="108"/>
      <c r="AI130" s="83"/>
      <c r="AJ130" s="83"/>
      <c r="AK130" s="83"/>
      <c r="AL130" s="83"/>
      <c r="AM130" s="83">
        <v>0</v>
      </c>
      <c r="AN130" s="83"/>
      <c r="AO130" s="108"/>
      <c r="AP130" s="83"/>
      <c r="AQ130" s="83"/>
      <c r="AR130" s="83"/>
      <c r="AS130" s="83"/>
      <c r="AT130" s="83"/>
      <c r="AU130" s="83"/>
      <c r="AV130" s="108"/>
      <c r="AW130" s="83"/>
      <c r="AX130" s="83"/>
      <c r="AY130" s="83"/>
      <c r="AZ130" s="83"/>
      <c r="BA130" s="83"/>
      <c r="BB130" s="83"/>
      <c r="BC130" s="108"/>
    </row>
    <row r="131" spans="1:55">
      <c r="A131" s="80" t="s">
        <v>6</v>
      </c>
      <c r="B131" s="102">
        <v>662</v>
      </c>
      <c r="C131" s="103" t="s">
        <v>119</v>
      </c>
      <c r="D131" s="83">
        <v>18757013.899999999</v>
      </c>
      <c r="E131" s="83">
        <v>743045.66</v>
      </c>
      <c r="F131" s="104">
        <f t="shared" si="71"/>
        <v>19500059.559999999</v>
      </c>
      <c r="G131" s="104">
        <v>19500059.559999999</v>
      </c>
      <c r="H131" s="105">
        <f t="shared" si="118"/>
        <v>0</v>
      </c>
      <c r="I131" s="83">
        <v>0</v>
      </c>
      <c r="J131" s="83">
        <v>2948044</v>
      </c>
      <c r="K131" s="106">
        <f t="shared" si="72"/>
        <v>2948044</v>
      </c>
      <c r="L131" s="107">
        <v>2948044</v>
      </c>
      <c r="M131" s="106">
        <f t="shared" si="73"/>
        <v>0</v>
      </c>
      <c r="N131" s="83">
        <v>0</v>
      </c>
      <c r="O131" s="107">
        <v>0</v>
      </c>
      <c r="P131" s="106">
        <f t="shared" si="74"/>
        <v>0</v>
      </c>
      <c r="Q131" s="83">
        <v>0</v>
      </c>
      <c r="R131" s="106">
        <v>129588.6</v>
      </c>
      <c r="S131" s="106">
        <v>1580195</v>
      </c>
      <c r="T131" s="106">
        <v>10188154.5</v>
      </c>
      <c r="U131" s="106">
        <f t="shared" si="128"/>
        <v>-11897938.1</v>
      </c>
      <c r="V131" s="83"/>
      <c r="W131" s="106">
        <v>0</v>
      </c>
      <c r="X131" s="106">
        <v>0</v>
      </c>
      <c r="Y131" s="106">
        <v>0</v>
      </c>
      <c r="Z131" s="106">
        <v>89299051.340000004</v>
      </c>
      <c r="AA131" s="106">
        <f t="shared" si="75"/>
        <v>-89299051.340000004</v>
      </c>
      <c r="AB131" s="83">
        <v>17898192.27</v>
      </c>
      <c r="AC131" s="83">
        <v>787060.91999999993</v>
      </c>
      <c r="AD131" s="83">
        <v>0</v>
      </c>
      <c r="AE131" s="83">
        <v>3138399.5</v>
      </c>
      <c r="AF131" s="83">
        <v>0</v>
      </c>
      <c r="AG131" s="83"/>
      <c r="AH131" s="108"/>
      <c r="AI131" s="83">
        <v>18888536.769999996</v>
      </c>
      <c r="AJ131" s="83">
        <v>964144.11</v>
      </c>
      <c r="AK131" s="83">
        <v>0</v>
      </c>
      <c r="AL131" s="83">
        <v>4266562.9000000004</v>
      </c>
      <c r="AM131" s="83">
        <v>0</v>
      </c>
      <c r="AN131" s="83"/>
      <c r="AO131" s="108"/>
      <c r="AP131" s="83">
        <v>24661806.050000031</v>
      </c>
      <c r="AQ131" s="83">
        <v>1674602.0200000005</v>
      </c>
      <c r="AR131" s="83">
        <v>0</v>
      </c>
      <c r="AS131" s="83">
        <v>5857097.0600000015</v>
      </c>
      <c r="AT131" s="83">
        <v>0</v>
      </c>
      <c r="AU131" s="83"/>
      <c r="AV131" s="108"/>
      <c r="AW131" s="83">
        <v>18576066.799999792</v>
      </c>
      <c r="AX131" s="83">
        <v>1116840.370000001</v>
      </c>
      <c r="AY131" s="83">
        <v>0</v>
      </c>
      <c r="AZ131" s="83">
        <v>5601242.2100000037</v>
      </c>
      <c r="BA131" s="83">
        <v>0</v>
      </c>
      <c r="BB131" s="83"/>
      <c r="BC131" s="108"/>
    </row>
    <row r="132" spans="1:55">
      <c r="A132" s="80" t="s">
        <v>6</v>
      </c>
      <c r="B132" s="102">
        <v>670</v>
      </c>
      <c r="C132" s="103" t="s">
        <v>141</v>
      </c>
      <c r="D132" s="83">
        <v>75687.86</v>
      </c>
      <c r="E132" s="83">
        <v>50134.48</v>
      </c>
      <c r="F132" s="104">
        <f t="shared" si="71"/>
        <v>125822.34</v>
      </c>
      <c r="G132" s="104">
        <v>125822.34</v>
      </c>
      <c r="H132" s="105">
        <f t="shared" si="118"/>
        <v>0</v>
      </c>
      <c r="I132" s="83">
        <v>55899.67</v>
      </c>
      <c r="J132" s="83">
        <v>55648.51</v>
      </c>
      <c r="K132" s="106">
        <f t="shared" si="72"/>
        <v>111548.18</v>
      </c>
      <c r="L132" s="107">
        <v>111548.18</v>
      </c>
      <c r="M132" s="106">
        <f t="shared" si="73"/>
        <v>0</v>
      </c>
      <c r="N132" s="83">
        <v>0</v>
      </c>
      <c r="O132" s="107">
        <v>0</v>
      </c>
      <c r="P132" s="106">
        <f t="shared" si="74"/>
        <v>0</v>
      </c>
      <c r="Q132" s="83">
        <v>0</v>
      </c>
      <c r="R132" s="106">
        <v>9874693.7799999993</v>
      </c>
      <c r="S132" s="106">
        <v>79485.100000000006</v>
      </c>
      <c r="T132" s="106">
        <v>12553824.050000001</v>
      </c>
      <c r="U132" s="106">
        <f t="shared" si="128"/>
        <v>-22508002.93</v>
      </c>
      <c r="V132" s="83"/>
      <c r="W132" s="106">
        <v>0</v>
      </c>
      <c r="X132" s="106">
        <v>0</v>
      </c>
      <c r="Y132" s="106">
        <v>0</v>
      </c>
      <c r="Z132" s="106">
        <v>5962255.8899999997</v>
      </c>
      <c r="AA132" s="106">
        <f t="shared" si="75"/>
        <v>-5962255.8899999997</v>
      </c>
      <c r="AB132" s="83">
        <v>0</v>
      </c>
      <c r="AC132" s="83">
        <v>4243.7599999999993</v>
      </c>
      <c r="AD132" s="83">
        <v>9172.52</v>
      </c>
      <c r="AE132" s="83">
        <v>0</v>
      </c>
      <c r="AF132" s="83">
        <v>0</v>
      </c>
      <c r="AG132" s="83"/>
      <c r="AH132" s="108"/>
      <c r="AI132" s="83">
        <v>0</v>
      </c>
      <c r="AJ132" s="83">
        <v>0</v>
      </c>
      <c r="AK132" s="83">
        <v>0</v>
      </c>
      <c r="AL132" s="83">
        <v>0</v>
      </c>
      <c r="AM132" s="83">
        <v>0</v>
      </c>
      <c r="AN132" s="83"/>
      <c r="AO132" s="108"/>
      <c r="AP132" s="83">
        <v>0</v>
      </c>
      <c r="AQ132" s="83">
        <v>11041.33</v>
      </c>
      <c r="AR132" s="83">
        <v>0</v>
      </c>
      <c r="AS132" s="83">
        <v>0</v>
      </c>
      <c r="AT132" s="83">
        <v>0</v>
      </c>
      <c r="AU132" s="83"/>
      <c r="AV132" s="108"/>
      <c r="AW132" s="83">
        <v>568552.43000000005</v>
      </c>
      <c r="AX132" s="83">
        <v>0</v>
      </c>
      <c r="AY132" s="83">
        <v>216795.05000000005</v>
      </c>
      <c r="AZ132" s="83">
        <v>768355.07</v>
      </c>
      <c r="BA132" s="83">
        <v>0</v>
      </c>
      <c r="BB132" s="83"/>
      <c r="BC132" s="108"/>
    </row>
    <row r="133" spans="1:55" s="112" customFormat="1" ht="14.25" customHeight="1">
      <c r="A133" s="80" t="s">
        <v>6</v>
      </c>
      <c r="B133" s="102">
        <v>671</v>
      </c>
      <c r="C133" s="103" t="s">
        <v>142</v>
      </c>
      <c r="D133" s="83">
        <v>0</v>
      </c>
      <c r="E133" s="83">
        <v>0</v>
      </c>
      <c r="F133" s="104">
        <f t="shared" si="71"/>
        <v>0</v>
      </c>
      <c r="G133" s="104">
        <v>0</v>
      </c>
      <c r="H133" s="105">
        <f t="shared" si="118"/>
        <v>0</v>
      </c>
      <c r="I133" s="83">
        <v>0</v>
      </c>
      <c r="J133" s="83">
        <v>0</v>
      </c>
      <c r="K133" s="106">
        <f t="shared" si="72"/>
        <v>0</v>
      </c>
      <c r="L133" s="107">
        <v>0</v>
      </c>
      <c r="M133" s="106">
        <f t="shared" si="73"/>
        <v>0</v>
      </c>
      <c r="N133" s="83">
        <v>0</v>
      </c>
      <c r="O133" s="107">
        <v>0</v>
      </c>
      <c r="P133" s="106">
        <f t="shared" si="74"/>
        <v>0</v>
      </c>
      <c r="Q133" s="83">
        <v>0</v>
      </c>
      <c r="R133" s="106">
        <v>1942510.98</v>
      </c>
      <c r="S133" s="106">
        <v>0</v>
      </c>
      <c r="T133" s="106">
        <v>2042944.09</v>
      </c>
      <c r="U133" s="106">
        <f t="shared" si="128"/>
        <v>-3985455.0700000003</v>
      </c>
      <c r="V133" s="110"/>
      <c r="W133" s="106">
        <v>0</v>
      </c>
      <c r="X133" s="106">
        <v>0</v>
      </c>
      <c r="Y133" s="106">
        <v>0</v>
      </c>
      <c r="Z133" s="106">
        <v>0</v>
      </c>
      <c r="AA133" s="106">
        <f t="shared" si="75"/>
        <v>0</v>
      </c>
      <c r="AB133" s="83">
        <v>83006.679999999964</v>
      </c>
      <c r="AC133" s="83">
        <v>0</v>
      </c>
      <c r="AD133" s="83">
        <v>0</v>
      </c>
      <c r="AE133" s="83">
        <v>0</v>
      </c>
      <c r="AF133" s="83">
        <v>0</v>
      </c>
      <c r="AG133" s="83"/>
      <c r="AH133" s="111"/>
      <c r="AI133" s="83">
        <v>113357.34999999999</v>
      </c>
      <c r="AJ133" s="83">
        <v>0</v>
      </c>
      <c r="AK133" s="83">
        <v>0</v>
      </c>
      <c r="AL133" s="83">
        <v>16968.580000000002</v>
      </c>
      <c r="AM133" s="83">
        <v>0</v>
      </c>
      <c r="AN133" s="83"/>
      <c r="AO133" s="111"/>
      <c r="AP133" s="83">
        <v>80004.89999999998</v>
      </c>
      <c r="AQ133" s="83">
        <v>0</v>
      </c>
      <c r="AR133" s="83">
        <v>0</v>
      </c>
      <c r="AS133" s="83">
        <v>0</v>
      </c>
      <c r="AT133" s="83">
        <v>0</v>
      </c>
      <c r="AU133" s="83"/>
      <c r="AV133" s="111"/>
      <c r="AW133" s="83">
        <v>52173.399999999994</v>
      </c>
      <c r="AX133" s="83">
        <v>0</v>
      </c>
      <c r="AY133" s="83">
        <v>0</v>
      </c>
      <c r="AZ133" s="83">
        <v>3026.5</v>
      </c>
      <c r="BA133" s="83">
        <v>0</v>
      </c>
      <c r="BB133" s="83"/>
      <c r="BC133" s="111"/>
    </row>
    <row r="134" spans="1:55" s="112" customFormat="1" ht="14.25" customHeight="1">
      <c r="A134" s="109" t="s">
        <v>6</v>
      </c>
      <c r="B134" s="102" t="s">
        <v>179</v>
      </c>
      <c r="C134" s="113" t="s">
        <v>180</v>
      </c>
      <c r="D134" s="83"/>
      <c r="E134" s="83"/>
      <c r="F134" s="104">
        <f t="shared" ref="F134:F177" si="129">SUM(D134:E134)</f>
        <v>0</v>
      </c>
      <c r="G134" s="104">
        <v>0</v>
      </c>
      <c r="H134" s="105">
        <f t="shared" si="118"/>
        <v>0</v>
      </c>
      <c r="I134" s="83"/>
      <c r="J134" s="83"/>
      <c r="K134" s="106">
        <f t="shared" ref="K134:K177" si="130">J134+I134</f>
        <v>0</v>
      </c>
      <c r="L134" s="107">
        <v>0</v>
      </c>
      <c r="M134" s="106">
        <f t="shared" ref="M134:M175" si="131">K134-L134</f>
        <v>0</v>
      </c>
      <c r="N134" s="83"/>
      <c r="O134" s="107">
        <v>0</v>
      </c>
      <c r="P134" s="106">
        <f t="shared" ref="P134:P175" si="132">N134-O134</f>
        <v>0</v>
      </c>
      <c r="Q134" s="114">
        <v>-133240393.98999995</v>
      </c>
      <c r="R134" s="106">
        <v>0</v>
      </c>
      <c r="S134" s="106">
        <v>0</v>
      </c>
      <c r="T134" s="106">
        <v>0</v>
      </c>
      <c r="U134" s="106">
        <f t="shared" si="128"/>
        <v>-133240393.98999995</v>
      </c>
      <c r="V134" s="110"/>
      <c r="W134" s="106">
        <v>0</v>
      </c>
      <c r="X134" s="106">
        <v>0</v>
      </c>
      <c r="Y134" s="106">
        <v>0</v>
      </c>
      <c r="Z134" s="106">
        <v>0</v>
      </c>
      <c r="AA134" s="106">
        <f t="shared" ref="AA134:AA177" si="133">V134-W134-X134-Y134-Z134</f>
        <v>0</v>
      </c>
      <c r="AB134" s="83"/>
      <c r="AC134" s="83"/>
      <c r="AD134" s="83"/>
      <c r="AE134" s="83"/>
      <c r="AF134" s="83"/>
      <c r="AG134" s="114">
        <v>-143656436.34000006</v>
      </c>
      <c r="AH134" s="111"/>
      <c r="AI134" s="83"/>
      <c r="AJ134" s="83"/>
      <c r="AK134" s="83"/>
      <c r="AL134" s="83"/>
      <c r="AM134" s="83"/>
      <c r="AN134" s="114">
        <v>-158255151.29000005</v>
      </c>
      <c r="AO134" s="111"/>
      <c r="AP134" s="83"/>
      <c r="AQ134" s="83"/>
      <c r="AR134" s="83"/>
      <c r="AS134" s="83"/>
      <c r="AT134" s="83"/>
      <c r="AU134" s="114">
        <v>-124782373.61000004</v>
      </c>
      <c r="AV134" s="111"/>
      <c r="AW134" s="83"/>
      <c r="AX134" s="83"/>
      <c r="AY134" s="83"/>
      <c r="AZ134" s="83"/>
      <c r="BA134" s="83"/>
      <c r="BB134" s="114">
        <v>-102491332.61999983</v>
      </c>
      <c r="BC134" s="111"/>
    </row>
    <row r="135" spans="1:55" s="112" customFormat="1" ht="14.25" customHeight="1">
      <c r="A135" s="109"/>
      <c r="B135" s="102"/>
      <c r="C135" s="103"/>
      <c r="D135" s="110"/>
      <c r="E135" s="110"/>
      <c r="F135" s="104"/>
      <c r="G135" s="104"/>
      <c r="H135" s="105"/>
      <c r="I135" s="110"/>
      <c r="J135" s="110"/>
      <c r="K135" s="106"/>
      <c r="L135" s="107"/>
      <c r="M135" s="106"/>
      <c r="N135" s="110"/>
      <c r="O135" s="107"/>
      <c r="P135" s="106"/>
      <c r="Q135" s="110"/>
      <c r="R135" s="106"/>
      <c r="S135" s="106"/>
      <c r="T135" s="106"/>
      <c r="U135" s="106"/>
      <c r="V135" s="110"/>
      <c r="W135" s="106"/>
      <c r="X135" s="106"/>
      <c r="Y135" s="106"/>
      <c r="Z135" s="106"/>
      <c r="AA135" s="106"/>
      <c r="AB135" s="110"/>
      <c r="AC135" s="110"/>
      <c r="AD135" s="83"/>
      <c r="AE135" s="83"/>
      <c r="AF135" s="83"/>
      <c r="AG135" s="110"/>
      <c r="AH135" s="111"/>
      <c r="AI135" s="83"/>
      <c r="AJ135" s="83"/>
      <c r="AK135" s="83"/>
      <c r="AL135" s="83"/>
      <c r="AM135" s="83"/>
      <c r="AN135" s="110"/>
      <c r="AO135" s="111"/>
      <c r="AP135" s="83"/>
      <c r="AQ135" s="83"/>
      <c r="AR135" s="83"/>
      <c r="AS135" s="83"/>
      <c r="AT135" s="83"/>
      <c r="AU135" s="110"/>
      <c r="AV135" s="111"/>
      <c r="AW135" s="83"/>
      <c r="AX135" s="83"/>
      <c r="AY135" s="83"/>
      <c r="AZ135" s="83"/>
      <c r="BA135" s="83"/>
      <c r="BB135" s="110"/>
      <c r="BC135" s="111"/>
    </row>
    <row r="136" spans="1:55">
      <c r="B136" s="87" t="s">
        <v>237</v>
      </c>
      <c r="C136" s="88"/>
      <c r="D136" s="98">
        <f>SUM(D137:D144)</f>
        <v>41099891.30999998</v>
      </c>
      <c r="E136" s="98">
        <f t="shared" ref="E136:Z136" si="134">SUM(E137:E144)</f>
        <v>76468186.759999901</v>
      </c>
      <c r="F136" s="99">
        <f t="shared" si="129"/>
        <v>117568078.06999987</v>
      </c>
      <c r="G136" s="99">
        <f>SUM(G137:G144)</f>
        <v>117835652.72999999</v>
      </c>
      <c r="H136" s="99">
        <f t="shared" ref="H136:H144" si="135">F136-G136</f>
        <v>-267574.66000011563</v>
      </c>
      <c r="I136" s="98">
        <f t="shared" si="134"/>
        <v>76128798.939999998</v>
      </c>
      <c r="J136" s="98">
        <f t="shared" si="134"/>
        <v>29507706.830000009</v>
      </c>
      <c r="K136" s="100">
        <f t="shared" si="130"/>
        <v>105636505.77000001</v>
      </c>
      <c r="L136" s="100">
        <f>SUM(L137:L144)</f>
        <v>105636505.77</v>
      </c>
      <c r="M136" s="100">
        <f t="shared" si="131"/>
        <v>0</v>
      </c>
      <c r="N136" s="98">
        <f t="shared" si="134"/>
        <v>6268854.2699999996</v>
      </c>
      <c r="O136" s="100">
        <f>SUM(O137:O144)</f>
        <v>6276149.0499999998</v>
      </c>
      <c r="P136" s="100">
        <f t="shared" si="132"/>
        <v>-7294.7800000002608</v>
      </c>
      <c r="Q136" s="98">
        <f t="shared" si="134"/>
        <v>17047986.879999999</v>
      </c>
      <c r="R136" s="100">
        <f>SUM(R137:R144)</f>
        <v>260328.38</v>
      </c>
      <c r="S136" s="100">
        <f>SUM(S137:S144)</f>
        <v>10605673.550000001</v>
      </c>
      <c r="T136" s="100">
        <f>SUM(T137:T144)</f>
        <v>6228287.7999999998</v>
      </c>
      <c r="U136" s="100">
        <f>Q136-R136-S136-T136</f>
        <v>-46302.850000000559</v>
      </c>
      <c r="V136" s="98">
        <f t="shared" si="134"/>
        <v>0</v>
      </c>
      <c r="W136" s="100">
        <f t="shared" si="134"/>
        <v>0</v>
      </c>
      <c r="X136" s="100">
        <f t="shared" si="134"/>
        <v>0</v>
      </c>
      <c r="Y136" s="100">
        <f t="shared" si="134"/>
        <v>0</v>
      </c>
      <c r="Z136" s="100">
        <f t="shared" si="134"/>
        <v>0</v>
      </c>
      <c r="AA136" s="100">
        <f t="shared" si="133"/>
        <v>0</v>
      </c>
      <c r="AB136" s="98">
        <f>SUM(AB137:AB144)</f>
        <v>42736470.300000012</v>
      </c>
      <c r="AC136" s="98">
        <f t="shared" ref="AC136:AH136" si="136">SUM(AC137:AC144)</f>
        <v>82046462.659999982</v>
      </c>
      <c r="AD136" s="98">
        <f t="shared" si="136"/>
        <v>86617421.830000028</v>
      </c>
      <c r="AE136" s="98">
        <f t="shared" si="136"/>
        <v>36129168.020000003</v>
      </c>
      <c r="AF136" s="98">
        <f t="shared" si="136"/>
        <v>4919296.1400000006</v>
      </c>
      <c r="AG136" s="98">
        <f t="shared" si="136"/>
        <v>18112978.310000002</v>
      </c>
      <c r="AH136" s="101">
        <f t="shared" si="136"/>
        <v>0</v>
      </c>
      <c r="AI136" s="98">
        <f>SUM(AI137:AI144)</f>
        <v>44234875.860000007</v>
      </c>
      <c r="AJ136" s="98">
        <f t="shared" ref="AJ136:AO136" si="137">SUM(AJ137:AJ144)</f>
        <v>93883234.789999932</v>
      </c>
      <c r="AK136" s="98">
        <f t="shared" si="137"/>
        <v>94300533.929999962</v>
      </c>
      <c r="AL136" s="98">
        <f t="shared" si="137"/>
        <v>38058322.350000009</v>
      </c>
      <c r="AM136" s="98">
        <f t="shared" si="137"/>
        <v>11972623.790000008</v>
      </c>
      <c r="AN136" s="98">
        <f t="shared" si="137"/>
        <v>53921990.079999998</v>
      </c>
      <c r="AO136" s="101">
        <f t="shared" si="137"/>
        <v>0</v>
      </c>
      <c r="AP136" s="98">
        <f>SUM(AP137:AP144)</f>
        <v>45396419.619999997</v>
      </c>
      <c r="AQ136" s="98">
        <f t="shared" ref="AQ136:AV136" si="138">SUM(AQ137:AQ144)</f>
        <v>103902032.95999996</v>
      </c>
      <c r="AR136" s="98">
        <f t="shared" si="138"/>
        <v>100992610.17000005</v>
      </c>
      <c r="AS136" s="98">
        <f t="shared" si="138"/>
        <v>44228977.839999989</v>
      </c>
      <c r="AT136" s="98">
        <f t="shared" si="138"/>
        <v>11452082.689999998</v>
      </c>
      <c r="AU136" s="98">
        <f t="shared" si="138"/>
        <v>54942386.660000019</v>
      </c>
      <c r="AV136" s="101">
        <f t="shared" si="138"/>
        <v>0</v>
      </c>
      <c r="AW136" s="98">
        <f>SUM(AW137:AW144)</f>
        <v>36722467.920000017</v>
      </c>
      <c r="AX136" s="98">
        <f t="shared" ref="AX136:BC136" si="139">SUM(AX137:AX144)</f>
        <v>86598790.609999985</v>
      </c>
      <c r="AY136" s="98">
        <f t="shared" si="139"/>
        <v>81213559.900000095</v>
      </c>
      <c r="AZ136" s="98">
        <f t="shared" si="139"/>
        <v>37203174.859999985</v>
      </c>
      <c r="BA136" s="98">
        <f t="shared" si="139"/>
        <v>7221035.7000000011</v>
      </c>
      <c r="BB136" s="98">
        <f t="shared" si="139"/>
        <v>43151557.510000005</v>
      </c>
      <c r="BC136" s="101">
        <f t="shared" si="139"/>
        <v>0</v>
      </c>
    </row>
    <row r="137" spans="1:55">
      <c r="A137" s="80" t="s">
        <v>48</v>
      </c>
      <c r="B137" s="102">
        <v>501</v>
      </c>
      <c r="C137" s="103" t="s">
        <v>200</v>
      </c>
      <c r="D137" s="83">
        <v>0</v>
      </c>
      <c r="E137" s="83">
        <v>0</v>
      </c>
      <c r="F137" s="104">
        <f t="shared" si="129"/>
        <v>0</v>
      </c>
      <c r="G137" s="104">
        <v>0</v>
      </c>
      <c r="H137" s="105">
        <f t="shared" si="135"/>
        <v>0</v>
      </c>
      <c r="I137" s="83">
        <v>0</v>
      </c>
      <c r="J137" s="83">
        <v>0</v>
      </c>
      <c r="K137" s="106">
        <f t="shared" si="130"/>
        <v>0</v>
      </c>
      <c r="L137" s="107">
        <v>0</v>
      </c>
      <c r="M137" s="106">
        <f t="shared" si="131"/>
        <v>0</v>
      </c>
      <c r="N137" s="83">
        <v>2101309.2699999991</v>
      </c>
      <c r="O137" s="107">
        <v>2102604.0499999998</v>
      </c>
      <c r="P137" s="106">
        <f t="shared" si="132"/>
        <v>-1294.7800000007264</v>
      </c>
      <c r="Q137" s="83">
        <v>12757737.899999999</v>
      </c>
      <c r="R137" s="106">
        <v>260283.38</v>
      </c>
      <c r="S137" s="106">
        <v>6349878.9100000001</v>
      </c>
      <c r="T137" s="106">
        <v>6193878.46</v>
      </c>
      <c r="U137" s="106">
        <f t="shared" ref="U137:U144" si="140">Q137-R137-S137-T137</f>
        <v>-46302.850000002421</v>
      </c>
      <c r="V137" s="83"/>
      <c r="W137" s="106">
        <v>0</v>
      </c>
      <c r="X137" s="106">
        <v>0</v>
      </c>
      <c r="Y137" s="106">
        <v>0</v>
      </c>
      <c r="Z137" s="106">
        <v>0</v>
      </c>
      <c r="AA137" s="106">
        <f t="shared" si="133"/>
        <v>0</v>
      </c>
      <c r="AB137" s="83">
        <v>0</v>
      </c>
      <c r="AC137" s="83">
        <v>0</v>
      </c>
      <c r="AD137" s="83">
        <v>0</v>
      </c>
      <c r="AE137" s="83">
        <v>0</v>
      </c>
      <c r="AF137" s="83">
        <v>2089436.54</v>
      </c>
      <c r="AG137" s="83">
        <v>13118322.870000001</v>
      </c>
      <c r="AH137" s="108"/>
      <c r="AI137" s="83">
        <v>0</v>
      </c>
      <c r="AJ137" s="83">
        <v>0</v>
      </c>
      <c r="AK137" s="83">
        <v>0</v>
      </c>
      <c r="AL137" s="83">
        <v>0</v>
      </c>
      <c r="AM137" s="83">
        <v>2070104.0099999986</v>
      </c>
      <c r="AN137" s="83">
        <v>15247028.5</v>
      </c>
      <c r="AO137" s="108"/>
      <c r="AP137" s="83">
        <v>0</v>
      </c>
      <c r="AQ137" s="83">
        <v>0</v>
      </c>
      <c r="AR137" s="83">
        <v>0</v>
      </c>
      <c r="AS137" s="83">
        <v>0</v>
      </c>
      <c r="AT137" s="83">
        <v>1884431.0700000008</v>
      </c>
      <c r="AU137" s="83">
        <v>16840475.830000006</v>
      </c>
      <c r="AV137" s="108"/>
      <c r="AW137" s="83">
        <v>0</v>
      </c>
      <c r="AX137" s="83">
        <v>0</v>
      </c>
      <c r="AY137" s="83">
        <v>0</v>
      </c>
      <c r="AZ137" s="83">
        <v>0</v>
      </c>
      <c r="BA137" s="83">
        <v>744730.23999999976</v>
      </c>
      <c r="BB137" s="83">
        <v>13032992.300000001</v>
      </c>
      <c r="BC137" s="108"/>
    </row>
    <row r="138" spans="1:55">
      <c r="A138" s="80" t="s">
        <v>48</v>
      </c>
      <c r="B138" s="102">
        <v>503</v>
      </c>
      <c r="C138" s="103" t="s">
        <v>201</v>
      </c>
      <c r="D138" s="83">
        <v>37054226.179999985</v>
      </c>
      <c r="E138" s="83">
        <v>72468110.209999904</v>
      </c>
      <c r="F138" s="104">
        <f t="shared" si="129"/>
        <v>109522336.3899999</v>
      </c>
      <c r="G138" s="104">
        <v>109789911.05</v>
      </c>
      <c r="H138" s="105">
        <f t="shared" si="135"/>
        <v>-267574.66000010073</v>
      </c>
      <c r="I138" s="83">
        <v>71476631.269999996</v>
      </c>
      <c r="J138" s="83">
        <v>27602465.870000008</v>
      </c>
      <c r="K138" s="106">
        <f t="shared" si="130"/>
        <v>99079097.140000001</v>
      </c>
      <c r="L138" s="107">
        <v>99079097.140000001</v>
      </c>
      <c r="M138" s="106">
        <f t="shared" si="131"/>
        <v>0</v>
      </c>
      <c r="N138" s="83">
        <v>0</v>
      </c>
      <c r="O138" s="107">
        <v>0</v>
      </c>
      <c r="P138" s="106">
        <f t="shared" si="132"/>
        <v>0</v>
      </c>
      <c r="Q138" s="83">
        <v>1091.47</v>
      </c>
      <c r="R138" s="106">
        <v>0</v>
      </c>
      <c r="S138" s="106">
        <v>0</v>
      </c>
      <c r="T138" s="106">
        <v>1091.47</v>
      </c>
      <c r="U138" s="106">
        <f t="shared" si="140"/>
        <v>0</v>
      </c>
      <c r="V138" s="83"/>
      <c r="W138" s="106">
        <v>0</v>
      </c>
      <c r="X138" s="106">
        <v>0</v>
      </c>
      <c r="Y138" s="106">
        <v>0</v>
      </c>
      <c r="Z138" s="106">
        <v>0</v>
      </c>
      <c r="AA138" s="106">
        <f t="shared" si="133"/>
        <v>0</v>
      </c>
      <c r="AB138" s="83">
        <v>38520607.530000016</v>
      </c>
      <c r="AC138" s="83">
        <v>75974617.449999973</v>
      </c>
      <c r="AD138" s="83">
        <v>78282712.180000022</v>
      </c>
      <c r="AE138" s="83">
        <v>32823490.34</v>
      </c>
      <c r="AF138" s="83">
        <v>0</v>
      </c>
      <c r="AG138" s="83">
        <v>0</v>
      </c>
      <c r="AH138" s="108"/>
      <c r="AI138" s="83">
        <v>39255445.750000015</v>
      </c>
      <c r="AJ138" s="83">
        <v>80418888.139999941</v>
      </c>
      <c r="AK138" s="83">
        <v>82409981.11999996</v>
      </c>
      <c r="AL138" s="83">
        <v>33322365.250000011</v>
      </c>
      <c r="AM138" s="83">
        <v>2000</v>
      </c>
      <c r="AN138" s="83">
        <v>0</v>
      </c>
      <c r="AO138" s="108"/>
      <c r="AP138" s="83">
        <v>41003794.449999996</v>
      </c>
      <c r="AQ138" s="83">
        <v>88688011.409999982</v>
      </c>
      <c r="AR138" s="83">
        <v>87698200.01000005</v>
      </c>
      <c r="AS138" s="83">
        <v>39863626.969999991</v>
      </c>
      <c r="AT138" s="83">
        <v>0</v>
      </c>
      <c r="AU138" s="83">
        <v>0</v>
      </c>
      <c r="AV138" s="108"/>
      <c r="AW138" s="83">
        <v>33059370.160000023</v>
      </c>
      <c r="AX138" s="83">
        <v>73583127.839999959</v>
      </c>
      <c r="AY138" s="83">
        <v>69866371.290000096</v>
      </c>
      <c r="AZ138" s="83">
        <v>33163900.739999983</v>
      </c>
      <c r="BA138" s="83">
        <v>0</v>
      </c>
      <c r="BB138" s="83">
        <v>0</v>
      </c>
      <c r="BC138" s="108"/>
    </row>
    <row r="139" spans="1:55">
      <c r="A139" s="80" t="s">
        <v>48</v>
      </c>
      <c r="B139" s="102">
        <v>504</v>
      </c>
      <c r="C139" s="103" t="s">
        <v>202</v>
      </c>
      <c r="D139" s="83">
        <v>0</v>
      </c>
      <c r="E139" s="83">
        <v>0</v>
      </c>
      <c r="F139" s="104">
        <f t="shared" si="129"/>
        <v>0</v>
      </c>
      <c r="G139" s="104">
        <v>0</v>
      </c>
      <c r="H139" s="105">
        <f t="shared" si="135"/>
        <v>0</v>
      </c>
      <c r="I139" s="83">
        <v>0</v>
      </c>
      <c r="J139" s="83"/>
      <c r="K139" s="106">
        <f t="shared" si="130"/>
        <v>0</v>
      </c>
      <c r="L139" s="107">
        <v>0</v>
      </c>
      <c r="M139" s="106">
        <f t="shared" si="131"/>
        <v>0</v>
      </c>
      <c r="N139" s="83">
        <v>0</v>
      </c>
      <c r="O139" s="107">
        <v>0</v>
      </c>
      <c r="P139" s="106">
        <f t="shared" si="132"/>
        <v>0</v>
      </c>
      <c r="Q139" s="83"/>
      <c r="R139" s="106">
        <v>0</v>
      </c>
      <c r="S139" s="106">
        <v>0</v>
      </c>
      <c r="T139" s="106">
        <v>0</v>
      </c>
      <c r="U139" s="106">
        <f t="shared" si="140"/>
        <v>0</v>
      </c>
      <c r="V139" s="83"/>
      <c r="W139" s="106">
        <v>0</v>
      </c>
      <c r="X139" s="106">
        <v>0</v>
      </c>
      <c r="Y139" s="106">
        <v>0</v>
      </c>
      <c r="Z139" s="106">
        <v>0</v>
      </c>
      <c r="AA139" s="106">
        <f t="shared" si="133"/>
        <v>0</v>
      </c>
      <c r="AB139" s="83">
        <v>0</v>
      </c>
      <c r="AC139" s="83"/>
      <c r="AD139" s="83"/>
      <c r="AE139" s="83"/>
      <c r="AF139" s="83"/>
      <c r="AG139" s="83"/>
      <c r="AH139" s="108"/>
      <c r="AI139" s="83">
        <v>1148298.7899999998</v>
      </c>
      <c r="AJ139" s="83">
        <v>5117637.9300000016</v>
      </c>
      <c r="AK139" s="83">
        <v>554630.23</v>
      </c>
      <c r="AL139" s="83">
        <v>353574.87999999995</v>
      </c>
      <c r="AM139" s="83">
        <v>8025519.7800000096</v>
      </c>
      <c r="AN139" s="83">
        <v>33050625.109999999</v>
      </c>
      <c r="AO139" s="108"/>
      <c r="AP139" s="83">
        <v>813928.9500000003</v>
      </c>
      <c r="AQ139" s="83">
        <v>5460660.6499999939</v>
      </c>
      <c r="AR139" s="83">
        <v>671488.79</v>
      </c>
      <c r="AS139" s="83">
        <v>387126.30000000005</v>
      </c>
      <c r="AT139" s="83">
        <v>7692651.6199999973</v>
      </c>
      <c r="AU139" s="83">
        <v>30962623.700000007</v>
      </c>
      <c r="AV139" s="108"/>
      <c r="AW139" s="83">
        <v>676928.98999999953</v>
      </c>
      <c r="AX139" s="83">
        <v>4304955.6399999987</v>
      </c>
      <c r="AY139" s="83">
        <v>554461.37999999989</v>
      </c>
      <c r="AZ139" s="83">
        <v>355546.65999999992</v>
      </c>
      <c r="BA139" s="83">
        <v>5070055.4600000018</v>
      </c>
      <c r="BB139" s="83">
        <v>22694694.500000004</v>
      </c>
      <c r="BC139" s="108"/>
    </row>
    <row r="140" spans="1:55">
      <c r="A140" s="80" t="s">
        <v>48</v>
      </c>
      <c r="B140" s="102">
        <v>507</v>
      </c>
      <c r="C140" s="103" t="s">
        <v>203</v>
      </c>
      <c r="D140" s="83">
        <v>3127.57</v>
      </c>
      <c r="E140" s="83">
        <v>81.239999999999995</v>
      </c>
      <c r="F140" s="104">
        <f t="shared" si="129"/>
        <v>3208.81</v>
      </c>
      <c r="G140" s="104">
        <v>3208.81</v>
      </c>
      <c r="H140" s="105">
        <f t="shared" si="135"/>
        <v>0</v>
      </c>
      <c r="I140" s="83">
        <v>0</v>
      </c>
      <c r="J140" s="83">
        <v>0</v>
      </c>
      <c r="K140" s="106">
        <f t="shared" si="130"/>
        <v>0</v>
      </c>
      <c r="L140" s="107">
        <v>0</v>
      </c>
      <c r="M140" s="106">
        <f t="shared" si="131"/>
        <v>0</v>
      </c>
      <c r="N140" s="83">
        <v>0</v>
      </c>
      <c r="O140" s="107">
        <v>0</v>
      </c>
      <c r="P140" s="106">
        <f t="shared" si="132"/>
        <v>0</v>
      </c>
      <c r="Q140" s="83">
        <v>0</v>
      </c>
      <c r="R140" s="106">
        <v>0</v>
      </c>
      <c r="S140" s="106">
        <v>0</v>
      </c>
      <c r="T140" s="106">
        <v>0</v>
      </c>
      <c r="U140" s="106">
        <f t="shared" si="140"/>
        <v>0</v>
      </c>
      <c r="V140" s="83"/>
      <c r="W140" s="106">
        <v>0</v>
      </c>
      <c r="X140" s="106">
        <v>0</v>
      </c>
      <c r="Y140" s="106">
        <v>0</v>
      </c>
      <c r="Z140" s="106">
        <v>0</v>
      </c>
      <c r="AA140" s="106">
        <f t="shared" si="133"/>
        <v>0</v>
      </c>
      <c r="AB140" s="83">
        <v>2663.83</v>
      </c>
      <c r="AC140" s="83">
        <v>81.239999999999995</v>
      </c>
      <c r="AD140" s="83">
        <v>0</v>
      </c>
      <c r="AE140" s="83">
        <v>0</v>
      </c>
      <c r="AF140" s="83">
        <v>0</v>
      </c>
      <c r="AG140" s="83">
        <v>0</v>
      </c>
      <c r="AH140" s="108"/>
      <c r="AI140" s="83">
        <v>0</v>
      </c>
      <c r="AJ140" s="83">
        <v>81.239999999999995</v>
      </c>
      <c r="AK140" s="83">
        <v>0</v>
      </c>
      <c r="AL140" s="83">
        <v>0</v>
      </c>
      <c r="AM140" s="83">
        <v>0</v>
      </c>
      <c r="AN140" s="83">
        <v>0</v>
      </c>
      <c r="AO140" s="108"/>
      <c r="AP140" s="83">
        <v>0</v>
      </c>
      <c r="AQ140" s="83">
        <v>81.239999999999995</v>
      </c>
      <c r="AR140" s="83">
        <v>0</v>
      </c>
      <c r="AS140" s="83">
        <v>0</v>
      </c>
      <c r="AT140" s="83">
        <v>0</v>
      </c>
      <c r="AU140" s="83">
        <v>0</v>
      </c>
      <c r="AV140" s="108"/>
      <c r="AW140" s="83">
        <v>0</v>
      </c>
      <c r="AX140" s="83">
        <v>60.93</v>
      </c>
      <c r="AY140" s="83">
        <v>0</v>
      </c>
      <c r="AZ140" s="83">
        <v>0</v>
      </c>
      <c r="BA140" s="83">
        <v>0</v>
      </c>
      <c r="BB140" s="83">
        <v>0</v>
      </c>
      <c r="BC140" s="108"/>
    </row>
    <row r="141" spans="1:55">
      <c r="A141" s="80" t="s">
        <v>48</v>
      </c>
      <c r="B141" s="102">
        <v>509</v>
      </c>
      <c r="C141" s="103" t="s">
        <v>204</v>
      </c>
      <c r="D141" s="83">
        <v>26734.19</v>
      </c>
      <c r="E141" s="83">
        <v>26785.559999999998</v>
      </c>
      <c r="F141" s="104">
        <f t="shared" si="129"/>
        <v>53519.75</v>
      </c>
      <c r="G141" s="104">
        <v>53519.75</v>
      </c>
      <c r="H141" s="105">
        <f t="shared" si="135"/>
        <v>0</v>
      </c>
      <c r="I141" s="83">
        <v>0</v>
      </c>
      <c r="J141" s="83">
        <v>2341.02</v>
      </c>
      <c r="K141" s="106">
        <f t="shared" si="130"/>
        <v>2341.02</v>
      </c>
      <c r="L141" s="107">
        <v>2341.02</v>
      </c>
      <c r="M141" s="106">
        <f t="shared" si="131"/>
        <v>0</v>
      </c>
      <c r="N141" s="83">
        <v>882.44</v>
      </c>
      <c r="O141" s="107">
        <v>882.44</v>
      </c>
      <c r="P141" s="106">
        <f t="shared" si="132"/>
        <v>0</v>
      </c>
      <c r="Q141" s="83">
        <v>4289157.51</v>
      </c>
      <c r="R141" s="106">
        <v>45</v>
      </c>
      <c r="S141" s="106">
        <v>4255794.6399999997</v>
      </c>
      <c r="T141" s="106">
        <v>33317.870000000003</v>
      </c>
      <c r="U141" s="106">
        <f t="shared" si="140"/>
        <v>1.0913936421275139E-10</v>
      </c>
      <c r="V141" s="83"/>
      <c r="W141" s="106">
        <v>0</v>
      </c>
      <c r="X141" s="106">
        <v>0</v>
      </c>
      <c r="Y141" s="106">
        <v>0</v>
      </c>
      <c r="Z141" s="106">
        <v>0</v>
      </c>
      <c r="AA141" s="106">
        <f t="shared" si="133"/>
        <v>0</v>
      </c>
      <c r="AB141" s="83">
        <v>62903.24</v>
      </c>
      <c r="AC141" s="83">
        <v>18129.54</v>
      </c>
      <c r="AD141" s="83">
        <v>0</v>
      </c>
      <c r="AE141" s="83">
        <v>769.17</v>
      </c>
      <c r="AF141" s="83">
        <v>0.01</v>
      </c>
      <c r="AG141" s="83">
        <v>4994655.4399999995</v>
      </c>
      <c r="AH141" s="108"/>
      <c r="AI141" s="83">
        <v>65503.44</v>
      </c>
      <c r="AJ141" s="83">
        <v>0</v>
      </c>
      <c r="AK141" s="83">
        <v>0</v>
      </c>
      <c r="AL141" s="83">
        <v>0</v>
      </c>
      <c r="AM141" s="83">
        <v>0</v>
      </c>
      <c r="AN141" s="83">
        <v>5624336.4700000007</v>
      </c>
      <c r="AO141" s="108"/>
      <c r="AP141" s="83">
        <v>65503.44</v>
      </c>
      <c r="AQ141" s="83">
        <v>0</v>
      </c>
      <c r="AR141" s="83">
        <v>0</v>
      </c>
      <c r="AS141" s="83">
        <v>5962.11</v>
      </c>
      <c r="AT141" s="83">
        <v>0</v>
      </c>
      <c r="AU141" s="83">
        <v>7133287.1300000008</v>
      </c>
      <c r="AV141" s="108"/>
      <c r="AW141" s="83">
        <v>47756.47</v>
      </c>
      <c r="AX141" s="83">
        <v>0</v>
      </c>
      <c r="AY141" s="83">
        <v>0</v>
      </c>
      <c r="AZ141" s="83">
        <v>4878.09</v>
      </c>
      <c r="BA141" s="83">
        <v>0</v>
      </c>
      <c r="BB141" s="83">
        <v>7420370.71</v>
      </c>
      <c r="BC141" s="108"/>
    </row>
    <row r="142" spans="1:55">
      <c r="A142" s="80" t="s">
        <v>48</v>
      </c>
      <c r="B142" s="102">
        <v>510</v>
      </c>
      <c r="C142" s="103" t="s">
        <v>205</v>
      </c>
      <c r="D142" s="83">
        <v>2230705.71</v>
      </c>
      <c r="E142" s="83">
        <v>0</v>
      </c>
      <c r="F142" s="104">
        <f t="shared" si="129"/>
        <v>2230705.71</v>
      </c>
      <c r="G142" s="104">
        <v>2230705.71</v>
      </c>
      <c r="H142" s="105">
        <f t="shared" si="135"/>
        <v>0</v>
      </c>
      <c r="I142" s="83">
        <v>0</v>
      </c>
      <c r="J142" s="83">
        <v>124131.34</v>
      </c>
      <c r="K142" s="106">
        <f t="shared" si="130"/>
        <v>124131.34</v>
      </c>
      <c r="L142" s="107">
        <v>124131.34</v>
      </c>
      <c r="M142" s="106">
        <f t="shared" si="131"/>
        <v>0</v>
      </c>
      <c r="N142" s="83">
        <v>0</v>
      </c>
      <c r="O142" s="107">
        <v>0</v>
      </c>
      <c r="P142" s="106">
        <f t="shared" si="132"/>
        <v>0</v>
      </c>
      <c r="Q142" s="83">
        <v>0</v>
      </c>
      <c r="R142" s="106">
        <v>0</v>
      </c>
      <c r="S142" s="106">
        <v>0</v>
      </c>
      <c r="T142" s="106">
        <v>0</v>
      </c>
      <c r="U142" s="106">
        <f t="shared" si="140"/>
        <v>0</v>
      </c>
      <c r="V142" s="83"/>
      <c r="W142" s="106">
        <v>0</v>
      </c>
      <c r="X142" s="106">
        <v>0</v>
      </c>
      <c r="Y142" s="106">
        <v>0</v>
      </c>
      <c r="Z142" s="106">
        <v>0</v>
      </c>
      <c r="AA142" s="106">
        <f t="shared" si="133"/>
        <v>0</v>
      </c>
      <c r="AB142" s="83">
        <v>1590890.3700000003</v>
      </c>
      <c r="AC142" s="83">
        <v>0</v>
      </c>
      <c r="AD142" s="83">
        <v>0</v>
      </c>
      <c r="AE142" s="83">
        <v>100735.07999999999</v>
      </c>
      <c r="AF142" s="83">
        <v>0</v>
      </c>
      <c r="AG142" s="83">
        <v>0</v>
      </c>
      <c r="AH142" s="108"/>
      <c r="AI142" s="83">
        <v>492667.05000000005</v>
      </c>
      <c r="AJ142" s="83">
        <v>0</v>
      </c>
      <c r="AK142" s="83">
        <v>0</v>
      </c>
      <c r="AL142" s="83">
        <v>69714.620000000024</v>
      </c>
      <c r="AM142" s="83">
        <v>0</v>
      </c>
      <c r="AN142" s="83">
        <v>0</v>
      </c>
      <c r="AO142" s="108"/>
      <c r="AP142" s="83">
        <v>81609.649999999994</v>
      </c>
      <c r="AQ142" s="83">
        <v>0</v>
      </c>
      <c r="AR142" s="83">
        <v>0</v>
      </c>
      <c r="AS142" s="83">
        <v>39391.539999999994</v>
      </c>
      <c r="AT142" s="83">
        <v>0</v>
      </c>
      <c r="AU142" s="83">
        <v>0</v>
      </c>
      <c r="AV142" s="108"/>
      <c r="AW142" s="83">
        <v>19172.419999999998</v>
      </c>
      <c r="AX142" s="83">
        <v>0</v>
      </c>
      <c r="AY142" s="83">
        <v>0</v>
      </c>
      <c r="AZ142" s="83">
        <v>72727.7</v>
      </c>
      <c r="BA142" s="83">
        <v>0</v>
      </c>
      <c r="BB142" s="83">
        <v>0</v>
      </c>
      <c r="BC142" s="108"/>
    </row>
    <row r="143" spans="1:55">
      <c r="A143" s="80" t="s">
        <v>48</v>
      </c>
      <c r="B143" s="102">
        <v>511</v>
      </c>
      <c r="C143" s="103" t="s">
        <v>206</v>
      </c>
      <c r="D143" s="83">
        <v>0</v>
      </c>
      <c r="E143" s="83">
        <v>0</v>
      </c>
      <c r="F143" s="104">
        <f t="shared" si="129"/>
        <v>0</v>
      </c>
      <c r="G143" s="104">
        <v>0</v>
      </c>
      <c r="H143" s="105">
        <f t="shared" si="135"/>
        <v>0</v>
      </c>
      <c r="I143" s="83">
        <v>0</v>
      </c>
      <c r="J143" s="83">
        <v>0</v>
      </c>
      <c r="K143" s="106">
        <f t="shared" si="130"/>
        <v>0</v>
      </c>
      <c r="L143" s="107">
        <v>0</v>
      </c>
      <c r="M143" s="106">
        <f t="shared" si="131"/>
        <v>0</v>
      </c>
      <c r="N143" s="83">
        <v>4166662.56</v>
      </c>
      <c r="O143" s="107">
        <v>4172662.56</v>
      </c>
      <c r="P143" s="106">
        <f t="shared" si="132"/>
        <v>-6000</v>
      </c>
      <c r="Q143" s="83">
        <v>0</v>
      </c>
      <c r="R143" s="106">
        <v>0</v>
      </c>
      <c r="S143" s="106">
        <v>0</v>
      </c>
      <c r="T143" s="106">
        <v>0</v>
      </c>
      <c r="U143" s="106">
        <f t="shared" si="140"/>
        <v>0</v>
      </c>
      <c r="V143" s="83"/>
      <c r="W143" s="106">
        <v>0</v>
      </c>
      <c r="X143" s="106">
        <v>0</v>
      </c>
      <c r="Y143" s="106">
        <v>0</v>
      </c>
      <c r="Z143" s="106">
        <v>0</v>
      </c>
      <c r="AA143" s="106">
        <f t="shared" si="133"/>
        <v>0</v>
      </c>
      <c r="AB143" s="83">
        <v>0</v>
      </c>
      <c r="AC143" s="83">
        <v>0</v>
      </c>
      <c r="AD143" s="83">
        <v>0</v>
      </c>
      <c r="AE143" s="83">
        <v>0</v>
      </c>
      <c r="AF143" s="83">
        <v>2829859.5900000003</v>
      </c>
      <c r="AG143" s="83">
        <v>0</v>
      </c>
      <c r="AH143" s="108"/>
      <c r="AI143" s="83">
        <v>0</v>
      </c>
      <c r="AJ143" s="83">
        <v>0</v>
      </c>
      <c r="AK143" s="83">
        <v>0</v>
      </c>
      <c r="AL143" s="83">
        <v>0</v>
      </c>
      <c r="AM143" s="83">
        <v>1875000</v>
      </c>
      <c r="AN143" s="83">
        <v>0</v>
      </c>
      <c r="AO143" s="108"/>
      <c r="AP143" s="83">
        <v>0</v>
      </c>
      <c r="AQ143" s="83">
        <v>0</v>
      </c>
      <c r="AR143" s="83">
        <v>0</v>
      </c>
      <c r="AS143" s="83">
        <v>0</v>
      </c>
      <c r="AT143" s="83">
        <v>1875000</v>
      </c>
      <c r="AU143" s="83">
        <v>6000</v>
      </c>
      <c r="AV143" s="108"/>
      <c r="AW143" s="83">
        <v>0</v>
      </c>
      <c r="AX143" s="83">
        <v>0</v>
      </c>
      <c r="AY143" s="83">
        <v>0</v>
      </c>
      <c r="AZ143" s="83">
        <v>0</v>
      </c>
      <c r="BA143" s="83">
        <v>1406250</v>
      </c>
      <c r="BB143" s="83">
        <v>3500</v>
      </c>
      <c r="BC143" s="108"/>
    </row>
    <row r="144" spans="1:55">
      <c r="A144" s="80" t="s">
        <v>48</v>
      </c>
      <c r="B144" s="102">
        <v>512</v>
      </c>
      <c r="C144" s="103" t="s">
        <v>207</v>
      </c>
      <c r="D144" s="83">
        <v>1785097.6599999985</v>
      </c>
      <c r="E144" s="83">
        <v>3973209.7499999995</v>
      </c>
      <c r="F144" s="104">
        <f t="shared" si="129"/>
        <v>5758307.4099999983</v>
      </c>
      <c r="G144" s="104">
        <v>5758307.4100000001</v>
      </c>
      <c r="H144" s="105">
        <f t="shared" si="135"/>
        <v>0</v>
      </c>
      <c r="I144" s="83">
        <v>4652167.6699999981</v>
      </c>
      <c r="J144" s="83">
        <v>1778768.6</v>
      </c>
      <c r="K144" s="106">
        <f t="shared" si="130"/>
        <v>6430936.2699999977</v>
      </c>
      <c r="L144" s="107">
        <v>6430936.2699999996</v>
      </c>
      <c r="M144" s="106">
        <f t="shared" si="131"/>
        <v>0</v>
      </c>
      <c r="N144" s="83">
        <v>0</v>
      </c>
      <c r="O144" s="107">
        <v>0</v>
      </c>
      <c r="P144" s="106">
        <f t="shared" si="132"/>
        <v>0</v>
      </c>
      <c r="Q144" s="83">
        <v>0</v>
      </c>
      <c r="R144" s="106">
        <v>0</v>
      </c>
      <c r="S144" s="106">
        <v>0</v>
      </c>
      <c r="T144" s="106">
        <v>0</v>
      </c>
      <c r="U144" s="106">
        <f t="shared" si="140"/>
        <v>0</v>
      </c>
      <c r="V144" s="83"/>
      <c r="W144" s="106">
        <v>0</v>
      </c>
      <c r="X144" s="106">
        <v>0</v>
      </c>
      <c r="Y144" s="106">
        <v>0</v>
      </c>
      <c r="Z144" s="106">
        <v>0</v>
      </c>
      <c r="AA144" s="106">
        <f t="shared" si="133"/>
        <v>0</v>
      </c>
      <c r="AB144" s="83">
        <v>2559405.3300000015</v>
      </c>
      <c r="AC144" s="83">
        <v>6053634.4300000072</v>
      </c>
      <c r="AD144" s="83">
        <v>8334709.6500000004</v>
      </c>
      <c r="AE144" s="83">
        <v>3204173.43</v>
      </c>
      <c r="AF144" s="83">
        <v>0</v>
      </c>
      <c r="AG144" s="83">
        <v>0</v>
      </c>
      <c r="AH144" s="108"/>
      <c r="AI144" s="83">
        <v>3272960.8299999996</v>
      </c>
      <c r="AJ144" s="83">
        <v>8346627.4799999958</v>
      </c>
      <c r="AK144" s="83">
        <v>11335922.579999994</v>
      </c>
      <c r="AL144" s="83">
        <v>4312667.6000000006</v>
      </c>
      <c r="AM144" s="83">
        <v>0</v>
      </c>
      <c r="AN144" s="83">
        <v>0</v>
      </c>
      <c r="AO144" s="108"/>
      <c r="AP144" s="83">
        <v>3431583.1300000008</v>
      </c>
      <c r="AQ144" s="83">
        <v>9753279.6599999908</v>
      </c>
      <c r="AR144" s="83">
        <v>12622921.369999994</v>
      </c>
      <c r="AS144" s="83">
        <v>3932870.9200000018</v>
      </c>
      <c r="AT144" s="83">
        <v>0</v>
      </c>
      <c r="AU144" s="83">
        <v>0</v>
      </c>
      <c r="AV144" s="108"/>
      <c r="AW144" s="83">
        <v>2919239.8799999943</v>
      </c>
      <c r="AX144" s="83">
        <v>8710646.2000000104</v>
      </c>
      <c r="AY144" s="83">
        <v>10792727.229999999</v>
      </c>
      <c r="AZ144" s="83">
        <v>3606121.6699999995</v>
      </c>
      <c r="BA144" s="83">
        <v>0</v>
      </c>
      <c r="BB144" s="83">
        <v>0</v>
      </c>
      <c r="BC144" s="108"/>
    </row>
    <row r="145" spans="1:55" s="112" customFormat="1">
      <c r="A145" s="109"/>
      <c r="B145" s="84"/>
      <c r="C145" s="103"/>
      <c r="D145" s="110"/>
      <c r="E145" s="110"/>
      <c r="F145" s="104"/>
      <c r="G145" s="104"/>
      <c r="H145" s="105"/>
      <c r="I145" s="110"/>
      <c r="J145" s="110"/>
      <c r="K145" s="106"/>
      <c r="L145" s="107"/>
      <c r="M145" s="106"/>
      <c r="N145" s="110"/>
      <c r="O145" s="107"/>
      <c r="P145" s="106"/>
      <c r="Q145" s="110"/>
      <c r="R145" s="106"/>
      <c r="S145" s="106"/>
      <c r="T145" s="106"/>
      <c r="U145" s="106"/>
      <c r="V145" s="110"/>
      <c r="W145" s="106"/>
      <c r="X145" s="106"/>
      <c r="Y145" s="106"/>
      <c r="Z145" s="106"/>
      <c r="AA145" s="106"/>
      <c r="AB145" s="110"/>
      <c r="AC145" s="110"/>
      <c r="AD145" s="83"/>
      <c r="AE145" s="83"/>
      <c r="AF145" s="83"/>
      <c r="AG145" s="83"/>
      <c r="AH145" s="111"/>
      <c r="AI145" s="83"/>
      <c r="AJ145" s="83"/>
      <c r="AK145" s="83"/>
      <c r="AL145" s="83"/>
      <c r="AM145" s="83"/>
      <c r="AN145" s="83"/>
      <c r="AO145" s="111"/>
      <c r="AP145" s="83"/>
      <c r="AQ145" s="83"/>
      <c r="AR145" s="83"/>
      <c r="AS145" s="83"/>
      <c r="AT145" s="83"/>
      <c r="AU145" s="83"/>
      <c r="AV145" s="111"/>
      <c r="AW145" s="83"/>
      <c r="AX145" s="83"/>
      <c r="AY145" s="83"/>
      <c r="AZ145" s="83"/>
      <c r="BA145" s="83"/>
      <c r="BB145" s="83"/>
      <c r="BC145" s="111"/>
    </row>
    <row r="146" spans="1:55">
      <c r="B146" s="87" t="s">
        <v>238</v>
      </c>
      <c r="C146" s="88"/>
      <c r="D146" s="98">
        <f>SUM(D147:D148)</f>
        <v>660518.28</v>
      </c>
      <c r="E146" s="98">
        <f t="shared" ref="E146:Q146" si="141">SUM(E147:E148)</f>
        <v>3136648.4099999997</v>
      </c>
      <c r="F146" s="99">
        <f t="shared" si="129"/>
        <v>3797166.6899999995</v>
      </c>
      <c r="G146" s="99">
        <f>SUM(G147:G148)</f>
        <v>3797166.69</v>
      </c>
      <c r="H146" s="99">
        <f t="shared" ref="H146:H148" si="142">F146-G146</f>
        <v>0</v>
      </c>
      <c r="I146" s="98">
        <f t="shared" si="141"/>
        <v>1294509.0599999998</v>
      </c>
      <c r="J146" s="98">
        <f t="shared" si="141"/>
        <v>1816296.9300000002</v>
      </c>
      <c r="K146" s="100">
        <f t="shared" si="130"/>
        <v>3110805.99</v>
      </c>
      <c r="L146" s="100">
        <f>SUM(L147:L148)</f>
        <v>3110805.99</v>
      </c>
      <c r="M146" s="100">
        <f t="shared" si="131"/>
        <v>0</v>
      </c>
      <c r="N146" s="98">
        <f t="shared" si="141"/>
        <v>16117558.670000002</v>
      </c>
      <c r="O146" s="100">
        <f>SUM(O147:O148)</f>
        <v>16117558.67</v>
      </c>
      <c r="P146" s="100">
        <f t="shared" si="132"/>
        <v>0</v>
      </c>
      <c r="Q146" s="98">
        <f t="shared" si="141"/>
        <v>3935811.52</v>
      </c>
      <c r="R146" s="100">
        <f>SUM(R147:R148)</f>
        <v>224602.91</v>
      </c>
      <c r="S146" s="100">
        <f>SUM(S147:S148)</f>
        <v>1149331.79</v>
      </c>
      <c r="T146" s="100">
        <f>SUM(T147:T148)</f>
        <v>2584388.2400000002</v>
      </c>
      <c r="U146" s="100">
        <f>Q146-R146-S146-T146</f>
        <v>-22511.420000000391</v>
      </c>
      <c r="V146" s="98">
        <f>SUM(V147:V148)</f>
        <v>0</v>
      </c>
      <c r="W146" s="100">
        <f t="shared" ref="W146:Z146" si="143">SUM(W147:W148)</f>
        <v>0</v>
      </c>
      <c r="X146" s="100">
        <f t="shared" si="143"/>
        <v>0</v>
      </c>
      <c r="Y146" s="100">
        <f t="shared" si="143"/>
        <v>0</v>
      </c>
      <c r="Z146" s="100">
        <f t="shared" si="143"/>
        <v>0</v>
      </c>
      <c r="AA146" s="100">
        <f t="shared" si="133"/>
        <v>0</v>
      </c>
      <c r="AB146" s="98">
        <f>SUM(AB147:AB148)</f>
        <v>1761622.6900000002</v>
      </c>
      <c r="AC146" s="98">
        <f t="shared" ref="AC146:AG146" si="144">SUM(AC147:AC148)</f>
        <v>15677846.819999997</v>
      </c>
      <c r="AD146" s="98">
        <f t="shared" si="144"/>
        <v>14039358.300000004</v>
      </c>
      <c r="AE146" s="98">
        <f t="shared" si="144"/>
        <v>166635.62</v>
      </c>
      <c r="AF146" s="98">
        <f t="shared" si="144"/>
        <v>6504731.620000001</v>
      </c>
      <c r="AG146" s="98">
        <f t="shared" si="144"/>
        <v>10938132.550000001</v>
      </c>
      <c r="AH146" s="101">
        <f>SUM(AH147:AH148)</f>
        <v>0</v>
      </c>
      <c r="AI146" s="98">
        <f>SUM(AI147:AI148)</f>
        <v>2110635.3899999997</v>
      </c>
      <c r="AJ146" s="98">
        <f t="shared" ref="AJ146:AN146" si="145">SUM(AJ147:AJ148)</f>
        <v>3555674.4200000004</v>
      </c>
      <c r="AK146" s="98">
        <f t="shared" si="145"/>
        <v>2446505.9</v>
      </c>
      <c r="AL146" s="98">
        <f t="shared" si="145"/>
        <v>3036494.4</v>
      </c>
      <c r="AM146" s="98">
        <f t="shared" si="145"/>
        <v>3433214.73</v>
      </c>
      <c r="AN146" s="98">
        <f t="shared" si="145"/>
        <v>3163202.34</v>
      </c>
      <c r="AO146" s="101">
        <f>SUM(AO147:AO148)</f>
        <v>0</v>
      </c>
      <c r="AP146" s="98">
        <f>SUM(AP147:AP148)</f>
        <v>2614901.64</v>
      </c>
      <c r="AQ146" s="98">
        <f t="shared" ref="AQ146:AV146" si="146">SUM(AQ147:AQ148)</f>
        <v>3269363.040000001</v>
      </c>
      <c r="AR146" s="98">
        <f t="shared" si="146"/>
        <v>4022617.2800000003</v>
      </c>
      <c r="AS146" s="98">
        <f t="shared" si="146"/>
        <v>160854.91999999998</v>
      </c>
      <c r="AT146" s="98">
        <f t="shared" si="146"/>
        <v>1740981.4999999995</v>
      </c>
      <c r="AU146" s="98">
        <f t="shared" si="146"/>
        <v>2202634.8199999994</v>
      </c>
      <c r="AV146" s="101">
        <f t="shared" si="146"/>
        <v>0</v>
      </c>
      <c r="AW146" s="98">
        <f>SUM(AW147:AW148)</f>
        <v>488175.62000000005</v>
      </c>
      <c r="AX146" s="98">
        <f t="shared" ref="AX146:BC146" si="147">SUM(AX147:AX148)</f>
        <v>1426076.27</v>
      </c>
      <c r="AY146" s="98">
        <f t="shared" si="147"/>
        <v>1109293.83</v>
      </c>
      <c r="AZ146" s="98">
        <f t="shared" si="147"/>
        <v>335609.69</v>
      </c>
      <c r="BA146" s="98">
        <f t="shared" si="147"/>
        <v>663632.30000000005</v>
      </c>
      <c r="BB146" s="98">
        <f t="shared" si="147"/>
        <v>3732539.4700000007</v>
      </c>
      <c r="BC146" s="101">
        <f t="shared" si="147"/>
        <v>0</v>
      </c>
    </row>
    <row r="147" spans="1:55">
      <c r="A147" s="80" t="s">
        <v>6</v>
      </c>
      <c r="B147" s="102">
        <v>406</v>
      </c>
      <c r="C147" s="103" t="s">
        <v>181</v>
      </c>
      <c r="D147" s="83">
        <v>632661.85</v>
      </c>
      <c r="E147" s="83">
        <v>2816717.32</v>
      </c>
      <c r="F147" s="104">
        <f t="shared" si="129"/>
        <v>3449379.17</v>
      </c>
      <c r="G147" s="104">
        <v>3449379.17</v>
      </c>
      <c r="H147" s="105">
        <f t="shared" si="142"/>
        <v>0</v>
      </c>
      <c r="I147" s="83">
        <v>973567.2</v>
      </c>
      <c r="J147" s="83">
        <v>1672670.8</v>
      </c>
      <c r="K147" s="106">
        <f t="shared" si="130"/>
        <v>2646238</v>
      </c>
      <c r="L147" s="107">
        <v>2646238</v>
      </c>
      <c r="M147" s="106">
        <f t="shared" si="131"/>
        <v>0</v>
      </c>
      <c r="N147" s="83">
        <v>15856121.760000002</v>
      </c>
      <c r="O147" s="107">
        <v>15856121.76</v>
      </c>
      <c r="P147" s="106">
        <f t="shared" si="132"/>
        <v>0</v>
      </c>
      <c r="Q147" s="83">
        <v>719255.14</v>
      </c>
      <c r="R147" s="106">
        <v>213347.20000000001</v>
      </c>
      <c r="S147" s="106">
        <v>29625.69</v>
      </c>
      <c r="T147" s="106">
        <v>476282.25</v>
      </c>
      <c r="U147" s="106">
        <f t="shared" ref="U147:U148" si="148">Q147-R147-S147-T147</f>
        <v>0</v>
      </c>
      <c r="V147" s="83"/>
      <c r="W147" s="106">
        <v>0</v>
      </c>
      <c r="X147" s="106">
        <v>0</v>
      </c>
      <c r="Y147" s="106">
        <v>0</v>
      </c>
      <c r="Z147" s="106">
        <v>0</v>
      </c>
      <c r="AA147" s="106">
        <f t="shared" si="133"/>
        <v>0</v>
      </c>
      <c r="AB147" s="83">
        <v>1661272.61</v>
      </c>
      <c r="AC147" s="83">
        <v>15409146.659999996</v>
      </c>
      <c r="AD147" s="83">
        <v>13772103.990000004</v>
      </c>
      <c r="AE147" s="83">
        <v>166635.62</v>
      </c>
      <c r="AF147" s="83">
        <v>6145471.8200000012</v>
      </c>
      <c r="AG147" s="83">
        <v>7495628.0800000001</v>
      </c>
      <c r="AH147" s="108"/>
      <c r="AI147" s="83">
        <v>2037930.2799999996</v>
      </c>
      <c r="AJ147" s="83">
        <v>3251625.1100000003</v>
      </c>
      <c r="AK147" s="83">
        <v>2362094.11</v>
      </c>
      <c r="AL147" s="83">
        <v>2868533.9899999998</v>
      </c>
      <c r="AM147" s="83">
        <v>3370509.85</v>
      </c>
      <c r="AN147" s="83">
        <v>1407254.13</v>
      </c>
      <c r="AO147" s="108"/>
      <c r="AP147" s="83">
        <v>2574907.02</v>
      </c>
      <c r="AQ147" s="83">
        <v>3106029.9800000009</v>
      </c>
      <c r="AR147" s="83">
        <v>3898439.41</v>
      </c>
      <c r="AS147" s="83">
        <v>40062.74</v>
      </c>
      <c r="AT147" s="83">
        <v>1737346.3199999996</v>
      </c>
      <c r="AU147" s="83">
        <v>1771747.0199999996</v>
      </c>
      <c r="AV147" s="108"/>
      <c r="AW147" s="83">
        <v>488175.62000000005</v>
      </c>
      <c r="AX147" s="83">
        <v>1426076.27</v>
      </c>
      <c r="AY147" s="83">
        <v>1102586.22</v>
      </c>
      <c r="AZ147" s="83">
        <v>160376</v>
      </c>
      <c r="BA147" s="83">
        <v>663598.30000000005</v>
      </c>
      <c r="BB147" s="83">
        <v>2944527.4500000007</v>
      </c>
      <c r="BC147" s="108"/>
    </row>
    <row r="148" spans="1:55">
      <c r="A148" s="80" t="s">
        <v>6</v>
      </c>
      <c r="B148" s="102">
        <v>413</v>
      </c>
      <c r="C148" s="103" t="s">
        <v>182</v>
      </c>
      <c r="D148" s="83">
        <v>27856.43</v>
      </c>
      <c r="E148" s="83">
        <v>319931.09000000003</v>
      </c>
      <c r="F148" s="104">
        <f t="shared" si="129"/>
        <v>347787.52000000002</v>
      </c>
      <c r="G148" s="104">
        <v>347787.52000000002</v>
      </c>
      <c r="H148" s="105">
        <f t="shared" si="142"/>
        <v>0</v>
      </c>
      <c r="I148" s="83">
        <v>320941.85999999993</v>
      </c>
      <c r="J148" s="83">
        <v>143626.13</v>
      </c>
      <c r="K148" s="106">
        <f t="shared" si="130"/>
        <v>464567.98999999993</v>
      </c>
      <c r="L148" s="107">
        <v>464567.99</v>
      </c>
      <c r="M148" s="106">
        <f t="shared" si="131"/>
        <v>0</v>
      </c>
      <c r="N148" s="83">
        <v>261436.91</v>
      </c>
      <c r="O148" s="107">
        <v>261436.91</v>
      </c>
      <c r="P148" s="106">
        <f t="shared" si="132"/>
        <v>0</v>
      </c>
      <c r="Q148" s="83">
        <v>3216556.38</v>
      </c>
      <c r="R148" s="106">
        <v>11255.71</v>
      </c>
      <c r="S148" s="106">
        <v>1119706.1000000001</v>
      </c>
      <c r="T148" s="106">
        <v>2108105.9900000002</v>
      </c>
      <c r="U148" s="106">
        <f t="shared" si="148"/>
        <v>-22511.420000000391</v>
      </c>
      <c r="V148" s="83"/>
      <c r="W148" s="106">
        <v>0</v>
      </c>
      <c r="X148" s="106">
        <v>0</v>
      </c>
      <c r="Y148" s="106">
        <v>0</v>
      </c>
      <c r="Z148" s="106">
        <v>0</v>
      </c>
      <c r="AA148" s="106">
        <f t="shared" si="133"/>
        <v>0</v>
      </c>
      <c r="AB148" s="83">
        <v>100350.08</v>
      </c>
      <c r="AC148" s="83">
        <v>268700.15999999997</v>
      </c>
      <c r="AD148" s="83">
        <v>267254.31</v>
      </c>
      <c r="AE148" s="83">
        <v>0</v>
      </c>
      <c r="AF148" s="83">
        <v>359259.8</v>
      </c>
      <c r="AG148" s="83">
        <v>3442504.4699999997</v>
      </c>
      <c r="AH148" s="108"/>
      <c r="AI148" s="83">
        <v>72705.11</v>
      </c>
      <c r="AJ148" s="83">
        <v>304049.31</v>
      </c>
      <c r="AK148" s="83">
        <v>84411.790000000008</v>
      </c>
      <c r="AL148" s="83">
        <v>167960.41</v>
      </c>
      <c r="AM148" s="83">
        <v>62704.88</v>
      </c>
      <c r="AN148" s="83">
        <v>1755948.21</v>
      </c>
      <c r="AO148" s="108"/>
      <c r="AP148" s="83">
        <v>39994.619999999995</v>
      </c>
      <c r="AQ148" s="83">
        <v>163333.06</v>
      </c>
      <c r="AR148" s="83">
        <v>124177.87</v>
      </c>
      <c r="AS148" s="83">
        <v>120792.18</v>
      </c>
      <c r="AT148" s="83">
        <v>3635.18</v>
      </c>
      <c r="AU148" s="83">
        <v>430887.8</v>
      </c>
      <c r="AV148" s="108"/>
      <c r="AW148" s="83">
        <v>0</v>
      </c>
      <c r="AX148" s="83">
        <v>0</v>
      </c>
      <c r="AY148" s="83">
        <v>6707.61</v>
      </c>
      <c r="AZ148" s="83">
        <v>175233.69</v>
      </c>
      <c r="BA148" s="83">
        <v>34</v>
      </c>
      <c r="BB148" s="83">
        <v>788012.02</v>
      </c>
      <c r="BC148" s="108"/>
    </row>
    <row r="149" spans="1:55" s="112" customFormat="1">
      <c r="A149" s="109"/>
      <c r="B149" s="84"/>
      <c r="C149" s="103"/>
      <c r="D149" s="110"/>
      <c r="E149" s="110"/>
      <c r="F149" s="104"/>
      <c r="G149" s="104"/>
      <c r="H149" s="105"/>
      <c r="I149" s="110"/>
      <c r="J149" s="110"/>
      <c r="K149" s="106"/>
      <c r="L149" s="107"/>
      <c r="M149" s="106"/>
      <c r="N149" s="110"/>
      <c r="O149" s="107"/>
      <c r="P149" s="106"/>
      <c r="Q149" s="110"/>
      <c r="R149" s="106"/>
      <c r="S149" s="106"/>
      <c r="T149" s="106"/>
      <c r="U149" s="106"/>
      <c r="V149" s="110"/>
      <c r="W149" s="106"/>
      <c r="X149" s="106"/>
      <c r="Y149" s="106"/>
      <c r="Z149" s="106"/>
      <c r="AA149" s="106"/>
      <c r="AB149" s="110"/>
      <c r="AC149" s="110"/>
      <c r="AD149" s="83"/>
      <c r="AE149" s="83"/>
      <c r="AF149" s="83"/>
      <c r="AG149" s="83"/>
      <c r="AH149" s="111"/>
      <c r="AI149" s="83"/>
      <c r="AJ149" s="83"/>
      <c r="AK149" s="83"/>
      <c r="AL149" s="83"/>
      <c r="AM149" s="83"/>
      <c r="AN149" s="83"/>
      <c r="AO149" s="111"/>
      <c r="AP149" s="83"/>
      <c r="AQ149" s="83"/>
      <c r="AR149" s="83"/>
      <c r="AS149" s="83"/>
      <c r="AT149" s="83"/>
      <c r="AU149" s="83"/>
      <c r="AV149" s="111"/>
      <c r="AW149" s="83"/>
      <c r="AX149" s="83"/>
      <c r="AY149" s="83"/>
      <c r="AZ149" s="83"/>
      <c r="BA149" s="83"/>
      <c r="BB149" s="83"/>
      <c r="BC149" s="111"/>
    </row>
    <row r="150" spans="1:55">
      <c r="B150" s="87" t="s">
        <v>239</v>
      </c>
      <c r="C150" s="88"/>
      <c r="D150" s="98">
        <f>SUM(D151:D152)</f>
        <v>53876.53</v>
      </c>
      <c r="E150" s="98">
        <f t="shared" ref="E150:Q150" si="149">SUM(E151:E152)</f>
        <v>0</v>
      </c>
      <c r="F150" s="99">
        <f t="shared" si="129"/>
        <v>53876.53</v>
      </c>
      <c r="G150" s="99">
        <f>SUM(G151:G152)</f>
        <v>53876.53</v>
      </c>
      <c r="H150" s="99">
        <f t="shared" ref="H150:H152" si="150">F150-G150</f>
        <v>0</v>
      </c>
      <c r="I150" s="98">
        <f t="shared" si="149"/>
        <v>340335.1</v>
      </c>
      <c r="J150" s="98">
        <f t="shared" si="149"/>
        <v>784826.97</v>
      </c>
      <c r="K150" s="100">
        <f t="shared" si="130"/>
        <v>1125162.0699999998</v>
      </c>
      <c r="L150" s="100">
        <f>SUM(L151:L152)</f>
        <v>1125162.07</v>
      </c>
      <c r="M150" s="100">
        <f t="shared" si="131"/>
        <v>0</v>
      </c>
      <c r="N150" s="98">
        <f t="shared" si="149"/>
        <v>0</v>
      </c>
      <c r="O150" s="100">
        <f>SUM(O151:O152)</f>
        <v>0</v>
      </c>
      <c r="P150" s="100">
        <f t="shared" si="132"/>
        <v>0</v>
      </c>
      <c r="Q150" s="98">
        <f t="shared" si="149"/>
        <v>15855.19</v>
      </c>
      <c r="R150" s="100">
        <f>SUM(R151:R152)</f>
        <v>14000</v>
      </c>
      <c r="S150" s="100">
        <f>SUM(S151:S152)</f>
        <v>1726.61</v>
      </c>
      <c r="T150" s="100">
        <f>SUM(T151:T152)</f>
        <v>128.58000000000001</v>
      </c>
      <c r="U150" s="100">
        <f>Q150-R150-S150-T150</f>
        <v>5.9685589803848416E-13</v>
      </c>
      <c r="V150" s="98">
        <f>SUM(V151:V152)</f>
        <v>55910999.999999955</v>
      </c>
      <c r="W150" s="100">
        <f t="shared" ref="W150:Z150" si="151">SUM(W151:W152)</f>
        <v>0</v>
      </c>
      <c r="X150" s="100">
        <f t="shared" si="151"/>
        <v>0</v>
      </c>
      <c r="Y150" s="100">
        <f t="shared" si="151"/>
        <v>55911000</v>
      </c>
      <c r="Z150" s="100">
        <f t="shared" si="151"/>
        <v>0</v>
      </c>
      <c r="AA150" s="100">
        <f t="shared" si="133"/>
        <v>-4.4703483581542969E-8</v>
      </c>
      <c r="AB150" s="98">
        <f>SUM(AB151:AB152)</f>
        <v>0</v>
      </c>
      <c r="AC150" s="98">
        <f t="shared" ref="AC150:AG150" si="152">SUM(AC151:AC152)</f>
        <v>0</v>
      </c>
      <c r="AD150" s="98">
        <f t="shared" si="152"/>
        <v>0</v>
      </c>
      <c r="AE150" s="98">
        <f t="shared" si="152"/>
        <v>0</v>
      </c>
      <c r="AF150" s="98">
        <f t="shared" si="152"/>
        <v>0</v>
      </c>
      <c r="AG150" s="98">
        <f t="shared" si="152"/>
        <v>0</v>
      </c>
      <c r="AH150" s="101">
        <f>SUM(AH151:AH152)</f>
        <v>26028959.919999991</v>
      </c>
      <c r="AI150" s="98">
        <f>SUM(AI151:AI152)</f>
        <v>0</v>
      </c>
      <c r="AJ150" s="98">
        <f t="shared" ref="AJ150:AN150" si="153">SUM(AJ151:AJ152)</f>
        <v>0</v>
      </c>
      <c r="AK150" s="98">
        <f t="shared" si="153"/>
        <v>0</v>
      </c>
      <c r="AL150" s="98">
        <f t="shared" si="153"/>
        <v>0</v>
      </c>
      <c r="AM150" s="98">
        <f t="shared" si="153"/>
        <v>0</v>
      </c>
      <c r="AN150" s="98">
        <f t="shared" si="153"/>
        <v>0</v>
      </c>
      <c r="AO150" s="101">
        <f>SUM(AO151:AO152)</f>
        <v>896066.74</v>
      </c>
      <c r="AP150" s="98">
        <f>SUM(AP151:AP152)</f>
        <v>0</v>
      </c>
      <c r="AQ150" s="98">
        <f t="shared" ref="AQ150:AU150" si="154">SUM(AQ151:AQ152)</f>
        <v>0</v>
      </c>
      <c r="AR150" s="98">
        <f t="shared" si="154"/>
        <v>0</v>
      </c>
      <c r="AS150" s="98">
        <f t="shared" si="154"/>
        <v>0</v>
      </c>
      <c r="AT150" s="98">
        <f t="shared" si="154"/>
        <v>0</v>
      </c>
      <c r="AU150" s="98">
        <f t="shared" si="154"/>
        <v>0</v>
      </c>
      <c r="AV150" s="101">
        <f>SUM(AV151:AV152)</f>
        <v>19389240.370000001</v>
      </c>
      <c r="AW150" s="98">
        <f>SUM(AW151:AW152)</f>
        <v>0</v>
      </c>
      <c r="AX150" s="98">
        <f t="shared" ref="AX150:BB150" si="155">SUM(AX151:AX152)</f>
        <v>0</v>
      </c>
      <c r="AY150" s="98">
        <f t="shared" si="155"/>
        <v>0</v>
      </c>
      <c r="AZ150" s="98">
        <f t="shared" si="155"/>
        <v>0</v>
      </c>
      <c r="BA150" s="98">
        <f t="shared" si="155"/>
        <v>0</v>
      </c>
      <c r="BB150" s="98">
        <f t="shared" si="155"/>
        <v>0</v>
      </c>
      <c r="BC150" s="101">
        <f>SUM(BC151:BC152)</f>
        <v>101197.84000000001</v>
      </c>
    </row>
    <row r="151" spans="1:55">
      <c r="A151" s="80" t="s">
        <v>6</v>
      </c>
      <c r="B151" s="102">
        <v>418</v>
      </c>
      <c r="C151" s="103" t="s">
        <v>183</v>
      </c>
      <c r="D151" s="83">
        <v>53876.53</v>
      </c>
      <c r="E151" s="83">
        <v>0</v>
      </c>
      <c r="F151" s="104">
        <f t="shared" si="129"/>
        <v>53876.53</v>
      </c>
      <c r="G151" s="104">
        <v>53876.53</v>
      </c>
      <c r="H151" s="105">
        <f t="shared" si="150"/>
        <v>0</v>
      </c>
      <c r="I151" s="83">
        <v>340335.1</v>
      </c>
      <c r="J151" s="83">
        <v>784826.97</v>
      </c>
      <c r="K151" s="106">
        <f t="shared" si="130"/>
        <v>1125162.0699999998</v>
      </c>
      <c r="L151" s="107">
        <v>1125162.07</v>
      </c>
      <c r="M151" s="106">
        <f t="shared" si="131"/>
        <v>0</v>
      </c>
      <c r="N151" s="83">
        <v>0</v>
      </c>
      <c r="O151" s="107">
        <v>0</v>
      </c>
      <c r="P151" s="106">
        <f t="shared" si="132"/>
        <v>0</v>
      </c>
      <c r="Q151" s="83">
        <v>15855.19</v>
      </c>
      <c r="R151" s="106">
        <v>14000</v>
      </c>
      <c r="S151" s="106">
        <v>1726.61</v>
      </c>
      <c r="T151" s="106">
        <v>128.58000000000001</v>
      </c>
      <c r="U151" s="106">
        <f t="shared" ref="U151:U152" si="156">Q151-R151-S151-T151</f>
        <v>5.9685589803848416E-13</v>
      </c>
      <c r="V151" s="83"/>
      <c r="W151" s="106">
        <v>0</v>
      </c>
      <c r="X151" s="106">
        <v>0</v>
      </c>
      <c r="Y151" s="106">
        <v>55911000</v>
      </c>
      <c r="Z151" s="106">
        <v>0</v>
      </c>
      <c r="AA151" s="106">
        <f t="shared" si="133"/>
        <v>-55911000</v>
      </c>
      <c r="AB151" s="83"/>
      <c r="AC151" s="83"/>
      <c r="AD151" s="83"/>
      <c r="AE151" s="83"/>
      <c r="AF151" s="83"/>
      <c r="AG151" s="83"/>
      <c r="AH151" s="108"/>
      <c r="AI151" s="83"/>
      <c r="AJ151" s="83"/>
      <c r="AK151" s="83"/>
      <c r="AL151" s="83"/>
      <c r="AM151" s="83"/>
      <c r="AN151" s="83"/>
      <c r="AO151" s="108"/>
      <c r="AP151" s="83"/>
      <c r="AQ151" s="83"/>
      <c r="AR151" s="83"/>
      <c r="AS151" s="83"/>
      <c r="AT151" s="83"/>
      <c r="AU151" s="83"/>
      <c r="AV151" s="108"/>
      <c r="AW151" s="83"/>
      <c r="AX151" s="83"/>
      <c r="AY151" s="83"/>
      <c r="AZ151" s="83"/>
      <c r="BA151" s="83"/>
      <c r="BB151" s="83"/>
      <c r="BC151" s="108"/>
    </row>
    <row r="152" spans="1:55" s="112" customFormat="1">
      <c r="A152" s="80" t="s">
        <v>6</v>
      </c>
      <c r="B152" s="102">
        <v>960</v>
      </c>
      <c r="C152" s="103" t="s">
        <v>183</v>
      </c>
      <c r="D152" s="83">
        <v>0</v>
      </c>
      <c r="E152" s="83">
        <v>0</v>
      </c>
      <c r="F152" s="104">
        <f t="shared" si="129"/>
        <v>0</v>
      </c>
      <c r="G152" s="104">
        <v>0</v>
      </c>
      <c r="H152" s="105">
        <f t="shared" si="150"/>
        <v>0</v>
      </c>
      <c r="I152" s="83">
        <v>0</v>
      </c>
      <c r="J152" s="83">
        <v>0</v>
      </c>
      <c r="K152" s="106">
        <f t="shared" si="130"/>
        <v>0</v>
      </c>
      <c r="L152" s="107">
        <v>0</v>
      </c>
      <c r="M152" s="106">
        <f t="shared" si="131"/>
        <v>0</v>
      </c>
      <c r="N152" s="83">
        <v>0</v>
      </c>
      <c r="O152" s="107">
        <v>0</v>
      </c>
      <c r="P152" s="106">
        <f t="shared" si="132"/>
        <v>0</v>
      </c>
      <c r="Q152" s="83">
        <v>0</v>
      </c>
      <c r="R152" s="106">
        <v>0</v>
      </c>
      <c r="S152" s="106">
        <v>0</v>
      </c>
      <c r="T152" s="106">
        <v>0</v>
      </c>
      <c r="U152" s="106">
        <f t="shared" si="156"/>
        <v>0</v>
      </c>
      <c r="V152" s="115">
        <v>55910999.999999955</v>
      </c>
      <c r="W152" s="106">
        <v>0</v>
      </c>
      <c r="X152" s="106">
        <v>0</v>
      </c>
      <c r="Y152" s="106">
        <v>0</v>
      </c>
      <c r="Z152" s="106">
        <v>0</v>
      </c>
      <c r="AA152" s="106">
        <f t="shared" si="133"/>
        <v>55910999.999999955</v>
      </c>
      <c r="AB152" s="83">
        <v>0</v>
      </c>
      <c r="AC152" s="83">
        <v>0</v>
      </c>
      <c r="AD152" s="83">
        <v>0</v>
      </c>
      <c r="AE152" s="83">
        <v>0</v>
      </c>
      <c r="AF152" s="83">
        <v>0</v>
      </c>
      <c r="AG152" s="83">
        <v>0</v>
      </c>
      <c r="AH152" s="116">
        <v>26028959.919999991</v>
      </c>
      <c r="AI152" s="83">
        <v>0</v>
      </c>
      <c r="AJ152" s="83">
        <v>0</v>
      </c>
      <c r="AK152" s="83">
        <v>0</v>
      </c>
      <c r="AL152" s="83"/>
      <c r="AM152" s="83">
        <v>0</v>
      </c>
      <c r="AN152" s="83">
        <v>0</v>
      </c>
      <c r="AO152" s="116">
        <v>896066.74</v>
      </c>
      <c r="AP152" s="83">
        <v>0</v>
      </c>
      <c r="AQ152" s="83">
        <v>0</v>
      </c>
      <c r="AR152" s="83">
        <v>0</v>
      </c>
      <c r="AS152" s="83">
        <v>0</v>
      </c>
      <c r="AT152" s="83">
        <v>0</v>
      </c>
      <c r="AU152" s="83">
        <v>0</v>
      </c>
      <c r="AV152" s="116">
        <v>19389240.370000001</v>
      </c>
      <c r="AW152" s="83">
        <v>0</v>
      </c>
      <c r="AX152" s="83">
        <v>0</v>
      </c>
      <c r="AY152" s="83">
        <v>0</v>
      </c>
      <c r="AZ152" s="83">
        <v>0</v>
      </c>
      <c r="BA152" s="83">
        <v>0</v>
      </c>
      <c r="BB152" s="83">
        <v>0</v>
      </c>
      <c r="BC152" s="116">
        <v>101197.84000000001</v>
      </c>
    </row>
    <row r="153" spans="1:55" s="112" customFormat="1">
      <c r="A153" s="109"/>
      <c r="C153" s="117"/>
      <c r="D153" s="110"/>
      <c r="E153" s="110"/>
      <c r="F153" s="104"/>
      <c r="G153" s="104"/>
      <c r="H153" s="105"/>
      <c r="I153" s="110"/>
      <c r="J153" s="110"/>
      <c r="K153" s="106"/>
      <c r="L153" s="107"/>
      <c r="M153" s="106"/>
      <c r="N153" s="110"/>
      <c r="O153" s="107"/>
      <c r="P153" s="106"/>
      <c r="Q153" s="110"/>
      <c r="R153" s="106"/>
      <c r="S153" s="106"/>
      <c r="T153" s="106"/>
      <c r="U153" s="106"/>
      <c r="V153" s="110"/>
      <c r="W153" s="106"/>
      <c r="X153" s="106"/>
      <c r="Y153" s="106"/>
      <c r="Z153" s="106"/>
      <c r="AA153" s="106"/>
      <c r="AB153" s="110"/>
      <c r="AC153" s="110"/>
      <c r="AD153" s="83"/>
      <c r="AE153" s="83"/>
      <c r="AF153" s="83"/>
      <c r="AG153" s="83"/>
      <c r="AH153" s="111"/>
      <c r="AI153" s="83"/>
      <c r="AJ153" s="83"/>
      <c r="AK153" s="83"/>
      <c r="AL153" s="83"/>
      <c r="AM153" s="83"/>
      <c r="AN153" s="83"/>
      <c r="AO153" s="111"/>
      <c r="AP153" s="83"/>
      <c r="AQ153" s="83"/>
      <c r="AR153" s="83"/>
      <c r="AS153" s="83"/>
      <c r="AT153" s="83"/>
      <c r="AU153" s="83"/>
      <c r="AV153" s="111"/>
      <c r="AW153" s="83"/>
      <c r="AX153" s="83"/>
      <c r="AY153" s="83"/>
      <c r="AZ153" s="83"/>
      <c r="BA153" s="83"/>
      <c r="BB153" s="83"/>
      <c r="BC153" s="111"/>
    </row>
    <row r="154" spans="1:55">
      <c r="B154" s="87" t="s">
        <v>240</v>
      </c>
      <c r="C154" s="88"/>
      <c r="D154" s="98">
        <f>SUM(D155:D156)</f>
        <v>0</v>
      </c>
      <c r="E154" s="98">
        <f t="shared" ref="E154:V154" si="157">SUM(E155:E156)</f>
        <v>0</v>
      </c>
      <c r="F154" s="99">
        <f t="shared" si="129"/>
        <v>0</v>
      </c>
      <c r="G154" s="99">
        <f>SUM(G155)</f>
        <v>0</v>
      </c>
      <c r="H154" s="99">
        <f t="shared" ref="H154:H155" si="158">F154-G154</f>
        <v>0</v>
      </c>
      <c r="I154" s="98">
        <f t="shared" si="157"/>
        <v>0</v>
      </c>
      <c r="J154" s="98">
        <f t="shared" si="157"/>
        <v>0</v>
      </c>
      <c r="K154" s="100">
        <f t="shared" si="130"/>
        <v>0</v>
      </c>
      <c r="L154" s="100">
        <f>SUM(L155)</f>
        <v>0</v>
      </c>
      <c r="M154" s="100">
        <f t="shared" si="131"/>
        <v>0</v>
      </c>
      <c r="N154" s="98">
        <f t="shared" si="157"/>
        <v>26401214.709999982</v>
      </c>
      <c r="O154" s="100">
        <f>SUM(O155)</f>
        <v>26401214.710000001</v>
      </c>
      <c r="P154" s="100">
        <f t="shared" si="132"/>
        <v>0</v>
      </c>
      <c r="Q154" s="98">
        <f>SUM(Q155:Q156)</f>
        <v>2398592.92</v>
      </c>
      <c r="R154" s="100">
        <f>SUM(R155)</f>
        <v>2398592.92</v>
      </c>
      <c r="S154" s="100">
        <f>SUM(S155)</f>
        <v>0</v>
      </c>
      <c r="T154" s="100">
        <f>SUM(T155)</f>
        <v>0</v>
      </c>
      <c r="U154" s="100">
        <f>Q154-R154-S154-T154</f>
        <v>0</v>
      </c>
      <c r="V154" s="98">
        <f t="shared" si="157"/>
        <v>0</v>
      </c>
      <c r="W154" s="100">
        <f t="shared" ref="W154:Z154" si="159">SUM(W155)</f>
        <v>0</v>
      </c>
      <c r="X154" s="100">
        <f t="shared" si="159"/>
        <v>0</v>
      </c>
      <c r="Y154" s="100">
        <f t="shared" si="159"/>
        <v>0</v>
      </c>
      <c r="Z154" s="100">
        <f t="shared" si="159"/>
        <v>0</v>
      </c>
      <c r="AA154" s="100">
        <f t="shared" si="133"/>
        <v>0</v>
      </c>
      <c r="AB154" s="98">
        <f>SUM(AB155:AB156)</f>
        <v>0</v>
      </c>
      <c r="AC154" s="98">
        <f t="shared" ref="AC154:AF154" si="160">SUM(AC155:AC156)</f>
        <v>0</v>
      </c>
      <c r="AD154" s="98">
        <f t="shared" si="160"/>
        <v>0</v>
      </c>
      <c r="AE154" s="98">
        <f t="shared" si="160"/>
        <v>0</v>
      </c>
      <c r="AF154" s="98">
        <f t="shared" si="160"/>
        <v>7747109.1300000083</v>
      </c>
      <c r="AG154" s="98">
        <f>SUM(AG155:AG156)</f>
        <v>0</v>
      </c>
      <c r="AH154" s="101">
        <f t="shared" ref="AH154" si="161">SUM(AH155:AH156)</f>
        <v>0</v>
      </c>
      <c r="AI154" s="98">
        <f>SUM(AI155:AI156)</f>
        <v>0</v>
      </c>
      <c r="AJ154" s="98">
        <f t="shared" ref="AJ154:AM154" si="162">SUM(AJ155:AJ156)</f>
        <v>0</v>
      </c>
      <c r="AK154" s="98">
        <f t="shared" si="162"/>
        <v>0</v>
      </c>
      <c r="AL154" s="98">
        <f t="shared" si="162"/>
        <v>0</v>
      </c>
      <c r="AM154" s="98">
        <f t="shared" si="162"/>
        <v>20850272.929999959</v>
      </c>
      <c r="AN154" s="98">
        <f>SUM(AN155:AN156)</f>
        <v>0</v>
      </c>
      <c r="AO154" s="101">
        <f t="shared" ref="AO154" si="163">SUM(AO155:AO156)</f>
        <v>0</v>
      </c>
      <c r="AP154" s="98">
        <f>SUM(AP155:AP156)</f>
        <v>0</v>
      </c>
      <c r="AQ154" s="98">
        <f t="shared" ref="AQ154:AT154" si="164">SUM(AQ155:AQ156)</f>
        <v>0</v>
      </c>
      <c r="AR154" s="98">
        <f t="shared" si="164"/>
        <v>0</v>
      </c>
      <c r="AS154" s="98">
        <f t="shared" si="164"/>
        <v>0</v>
      </c>
      <c r="AT154" s="98">
        <f t="shared" si="164"/>
        <v>90817444.670000061</v>
      </c>
      <c r="AU154" s="98">
        <f>SUM(AU155:AU156)</f>
        <v>154472.07</v>
      </c>
      <c r="AV154" s="101">
        <f t="shared" ref="AV154" si="165">SUM(AV155:AV156)</f>
        <v>0</v>
      </c>
      <c r="AW154" s="98">
        <f>SUM(AW155:AW156)</f>
        <v>0</v>
      </c>
      <c r="AX154" s="98">
        <f t="shared" ref="AX154:BA154" si="166">SUM(AX155:AX156)</f>
        <v>0</v>
      </c>
      <c r="AY154" s="98">
        <f t="shared" si="166"/>
        <v>0</v>
      </c>
      <c r="AZ154" s="98">
        <f t="shared" si="166"/>
        <v>0</v>
      </c>
      <c r="BA154" s="98">
        <f t="shared" si="166"/>
        <v>74721251.170000166</v>
      </c>
      <c r="BB154" s="98">
        <f>SUM(BB155:BB156)</f>
        <v>0</v>
      </c>
      <c r="BC154" s="101">
        <f t="shared" ref="BC154" si="167">SUM(BC155:BC156)</f>
        <v>0</v>
      </c>
    </row>
    <row r="155" spans="1:55">
      <c r="A155" s="80" t="s">
        <v>6</v>
      </c>
      <c r="B155" s="102">
        <v>502</v>
      </c>
      <c r="C155" s="103" t="s">
        <v>184</v>
      </c>
      <c r="D155" s="83">
        <v>0</v>
      </c>
      <c r="E155" s="83">
        <v>0</v>
      </c>
      <c r="F155" s="104">
        <f t="shared" si="129"/>
        <v>0</v>
      </c>
      <c r="G155" s="104">
        <v>0</v>
      </c>
      <c r="H155" s="105">
        <f t="shared" si="158"/>
        <v>0</v>
      </c>
      <c r="I155" s="83">
        <v>0</v>
      </c>
      <c r="J155" s="83">
        <v>0</v>
      </c>
      <c r="K155" s="106">
        <f t="shared" si="130"/>
        <v>0</v>
      </c>
      <c r="L155" s="107">
        <v>0</v>
      </c>
      <c r="M155" s="106">
        <f t="shared" si="131"/>
        <v>0</v>
      </c>
      <c r="N155" s="83">
        <v>26401214.709999982</v>
      </c>
      <c r="O155" s="107">
        <v>26401214.710000001</v>
      </c>
      <c r="P155" s="106">
        <f t="shared" si="132"/>
        <v>0</v>
      </c>
      <c r="Q155" s="83">
        <v>2398592.92</v>
      </c>
      <c r="R155" s="106">
        <v>2398592.92</v>
      </c>
      <c r="S155" s="106">
        <v>0</v>
      </c>
      <c r="T155" s="106">
        <v>0</v>
      </c>
      <c r="U155" s="106">
        <f>Q155-R155-S155-T155</f>
        <v>0</v>
      </c>
      <c r="V155" s="83"/>
      <c r="W155" s="106">
        <v>0</v>
      </c>
      <c r="X155" s="106">
        <v>0</v>
      </c>
      <c r="Y155" s="106">
        <v>0</v>
      </c>
      <c r="Z155" s="106">
        <v>0</v>
      </c>
      <c r="AA155" s="106">
        <f t="shared" si="133"/>
        <v>0</v>
      </c>
      <c r="AB155" s="83">
        <v>0</v>
      </c>
      <c r="AC155" s="83">
        <v>0</v>
      </c>
      <c r="AD155" s="83">
        <v>0</v>
      </c>
      <c r="AE155" s="83">
        <v>0</v>
      </c>
      <c r="AF155" s="83">
        <v>7747109.1300000083</v>
      </c>
      <c r="AG155" s="83">
        <v>0</v>
      </c>
      <c r="AH155" s="108"/>
      <c r="AI155" s="83">
        <v>0</v>
      </c>
      <c r="AJ155" s="83">
        <v>0</v>
      </c>
      <c r="AK155" s="83">
        <v>0</v>
      </c>
      <c r="AL155" s="83">
        <v>0</v>
      </c>
      <c r="AM155" s="83">
        <v>20850272.929999959</v>
      </c>
      <c r="AN155" s="83">
        <v>0</v>
      </c>
      <c r="AO155" s="108"/>
      <c r="AP155" s="83">
        <v>0</v>
      </c>
      <c r="AQ155" s="83">
        <v>0</v>
      </c>
      <c r="AR155" s="83">
        <v>0</v>
      </c>
      <c r="AS155" s="83">
        <v>0</v>
      </c>
      <c r="AT155" s="83">
        <v>90817444.670000061</v>
      </c>
      <c r="AU155" s="83">
        <v>154472.07</v>
      </c>
      <c r="AV155" s="108"/>
      <c r="AW155" s="83">
        <v>0</v>
      </c>
      <c r="AX155" s="83">
        <v>0</v>
      </c>
      <c r="AY155" s="83">
        <v>0</v>
      </c>
      <c r="AZ155" s="83">
        <v>0</v>
      </c>
      <c r="BA155" s="83">
        <v>74721251.170000166</v>
      </c>
      <c r="BB155" s="83">
        <v>0</v>
      </c>
      <c r="BC155" s="108"/>
    </row>
    <row r="156" spans="1:55" s="112" customFormat="1">
      <c r="A156" s="109"/>
      <c r="B156" s="84"/>
      <c r="C156" s="103"/>
      <c r="D156" s="110"/>
      <c r="E156" s="110"/>
      <c r="F156" s="104"/>
      <c r="G156" s="104"/>
      <c r="H156" s="105"/>
      <c r="I156" s="110"/>
      <c r="J156" s="110"/>
      <c r="K156" s="106"/>
      <c r="L156" s="107"/>
      <c r="M156" s="106"/>
      <c r="N156" s="110"/>
      <c r="O156" s="107"/>
      <c r="P156" s="106"/>
      <c r="Q156" s="110"/>
      <c r="R156" s="106"/>
      <c r="S156" s="106"/>
      <c r="T156" s="106"/>
      <c r="U156" s="106"/>
      <c r="V156" s="110"/>
      <c r="W156" s="106"/>
      <c r="X156" s="106"/>
      <c r="Y156" s="106"/>
      <c r="Z156" s="106"/>
      <c r="AA156" s="106"/>
      <c r="AB156" s="110"/>
      <c r="AC156" s="110"/>
      <c r="AD156" s="83"/>
      <c r="AE156" s="83"/>
      <c r="AF156" s="83"/>
      <c r="AG156" s="83"/>
      <c r="AH156" s="111"/>
      <c r="AI156" s="83"/>
      <c r="AJ156" s="83"/>
      <c r="AK156" s="83"/>
      <c r="AL156" s="83"/>
      <c r="AM156" s="83"/>
      <c r="AN156" s="83"/>
      <c r="AO156" s="111"/>
      <c r="AP156" s="83"/>
      <c r="AQ156" s="83"/>
      <c r="AR156" s="83"/>
      <c r="AS156" s="83"/>
      <c r="AT156" s="83"/>
      <c r="AU156" s="83"/>
      <c r="AV156" s="111"/>
      <c r="AW156" s="83"/>
      <c r="AX156" s="83"/>
      <c r="AY156" s="83"/>
      <c r="AZ156" s="83"/>
      <c r="BA156" s="83"/>
      <c r="BB156" s="83"/>
      <c r="BC156" s="111"/>
    </row>
    <row r="157" spans="1:55">
      <c r="B157" s="87" t="s">
        <v>241</v>
      </c>
      <c r="C157" s="88"/>
      <c r="D157" s="98">
        <f>SUM(D158:D163)</f>
        <v>0</v>
      </c>
      <c r="E157" s="98">
        <f t="shared" ref="E157:Z157" si="168">SUM(E158:E163)</f>
        <v>0</v>
      </c>
      <c r="F157" s="99">
        <f t="shared" si="129"/>
        <v>0</v>
      </c>
      <c r="G157" s="99">
        <f>SUM(G158:G163)</f>
        <v>0</v>
      </c>
      <c r="H157" s="99">
        <f t="shared" ref="H157:H163" si="169">F157-G157</f>
        <v>0</v>
      </c>
      <c r="I157" s="98">
        <f t="shared" si="168"/>
        <v>0</v>
      </c>
      <c r="J157" s="98">
        <f t="shared" si="168"/>
        <v>0</v>
      </c>
      <c r="K157" s="100">
        <f t="shared" si="130"/>
        <v>0</v>
      </c>
      <c r="L157" s="100">
        <f>SUM(L158:L163)</f>
        <v>0</v>
      </c>
      <c r="M157" s="100">
        <f t="shared" si="131"/>
        <v>0</v>
      </c>
      <c r="N157" s="98">
        <f t="shared" si="168"/>
        <v>0</v>
      </c>
      <c r="O157" s="100">
        <f>SUM(O158:O163)</f>
        <v>0</v>
      </c>
      <c r="P157" s="100">
        <f t="shared" si="132"/>
        <v>0</v>
      </c>
      <c r="Q157" s="98">
        <f t="shared" si="168"/>
        <v>0</v>
      </c>
      <c r="R157" s="100">
        <f>SUM(R158:R163)</f>
        <v>0</v>
      </c>
      <c r="S157" s="100">
        <f>SUM(S158:S163)</f>
        <v>0</v>
      </c>
      <c r="T157" s="100">
        <f>SUM(T158:T163)</f>
        <v>0</v>
      </c>
      <c r="U157" s="100">
        <f>Q157-R157-S157-T157</f>
        <v>0</v>
      </c>
      <c r="V157" s="98">
        <f t="shared" si="168"/>
        <v>88379977.900000021</v>
      </c>
      <c r="W157" s="100">
        <f t="shared" si="168"/>
        <v>0</v>
      </c>
      <c r="X157" s="100">
        <f t="shared" si="168"/>
        <v>259821903.76999998</v>
      </c>
      <c r="Y157" s="100">
        <f t="shared" si="168"/>
        <v>0</v>
      </c>
      <c r="Z157" s="100">
        <f t="shared" si="168"/>
        <v>0</v>
      </c>
      <c r="AA157" s="100">
        <f t="shared" si="133"/>
        <v>-171441925.86999995</v>
      </c>
      <c r="AB157" s="98">
        <f>SUM(AB158:AB163)</f>
        <v>0</v>
      </c>
      <c r="AC157" s="98">
        <f t="shared" ref="AC157:AG157" si="170">SUM(AC158:AC163)</f>
        <v>0</v>
      </c>
      <c r="AD157" s="98">
        <f t="shared" si="170"/>
        <v>0</v>
      </c>
      <c r="AE157" s="98">
        <f t="shared" si="170"/>
        <v>0</v>
      </c>
      <c r="AF157" s="98">
        <f t="shared" si="170"/>
        <v>0</v>
      </c>
      <c r="AG157" s="98">
        <f t="shared" si="170"/>
        <v>0</v>
      </c>
      <c r="AH157" s="101">
        <f>SUM(AH158:AH163)</f>
        <v>32980626.82</v>
      </c>
      <c r="AI157" s="98">
        <f>SUM(AI158:AI163)</f>
        <v>0</v>
      </c>
      <c r="AJ157" s="98">
        <f t="shared" ref="AJ157:AN157" si="171">SUM(AJ158:AJ163)</f>
        <v>0</v>
      </c>
      <c r="AK157" s="98">
        <f t="shared" si="171"/>
        <v>0</v>
      </c>
      <c r="AL157" s="98">
        <f t="shared" si="171"/>
        <v>0</v>
      </c>
      <c r="AM157" s="98">
        <f t="shared" si="171"/>
        <v>0</v>
      </c>
      <c r="AN157" s="98">
        <f t="shared" si="171"/>
        <v>1288010.6000000001</v>
      </c>
      <c r="AO157" s="101">
        <f>SUM(AO158:AO163)</f>
        <v>144254285.41999999</v>
      </c>
      <c r="AP157" s="98">
        <f>SUM(AP158:AP163)</f>
        <v>0</v>
      </c>
      <c r="AQ157" s="98">
        <f t="shared" ref="AQ157:AU157" si="172">SUM(AQ158:AQ163)</f>
        <v>0</v>
      </c>
      <c r="AR157" s="98">
        <f t="shared" si="172"/>
        <v>0</v>
      </c>
      <c r="AS157" s="98">
        <f t="shared" si="172"/>
        <v>0</v>
      </c>
      <c r="AT157" s="98">
        <f t="shared" si="172"/>
        <v>0</v>
      </c>
      <c r="AU157" s="98">
        <f t="shared" si="172"/>
        <v>1444009.71</v>
      </c>
      <c r="AV157" s="101">
        <f>SUM(AV158:AV163)</f>
        <v>58788562.949999996</v>
      </c>
      <c r="AW157" s="98">
        <f>SUM(AW158:AW163)</f>
        <v>0</v>
      </c>
      <c r="AX157" s="98">
        <f t="shared" ref="AX157:BB157" si="173">SUM(AX158:AX163)</f>
        <v>0</v>
      </c>
      <c r="AY157" s="98">
        <f t="shared" si="173"/>
        <v>0</v>
      </c>
      <c r="AZ157" s="98">
        <f t="shared" si="173"/>
        <v>0</v>
      </c>
      <c r="BA157" s="98">
        <f t="shared" si="173"/>
        <v>0</v>
      </c>
      <c r="BB157" s="98">
        <f t="shared" si="173"/>
        <v>-2081096.27</v>
      </c>
      <c r="BC157" s="101">
        <f>SUM(BC158:BC163)</f>
        <v>101071194.05000001</v>
      </c>
    </row>
    <row r="158" spans="1:55">
      <c r="A158" s="80" t="s">
        <v>6</v>
      </c>
      <c r="B158" s="102">
        <v>513</v>
      </c>
      <c r="C158" s="103" t="s">
        <v>185</v>
      </c>
      <c r="D158" s="83">
        <v>0</v>
      </c>
      <c r="E158" s="83">
        <v>0</v>
      </c>
      <c r="F158" s="104">
        <f t="shared" si="129"/>
        <v>0</v>
      </c>
      <c r="G158" s="104">
        <v>0</v>
      </c>
      <c r="H158" s="105">
        <f t="shared" si="169"/>
        <v>0</v>
      </c>
      <c r="I158" s="83">
        <v>0</v>
      </c>
      <c r="J158" s="83">
        <v>0</v>
      </c>
      <c r="K158" s="106">
        <f t="shared" si="130"/>
        <v>0</v>
      </c>
      <c r="L158" s="107">
        <v>0</v>
      </c>
      <c r="M158" s="106">
        <f t="shared" si="131"/>
        <v>0</v>
      </c>
      <c r="N158" s="83">
        <v>0</v>
      </c>
      <c r="O158" s="107">
        <v>0</v>
      </c>
      <c r="P158" s="106">
        <f t="shared" si="132"/>
        <v>0</v>
      </c>
      <c r="Q158" s="83">
        <v>0</v>
      </c>
      <c r="R158" s="106">
        <v>0</v>
      </c>
      <c r="S158" s="106">
        <v>0</v>
      </c>
      <c r="T158" s="106">
        <v>0</v>
      </c>
      <c r="U158" s="106">
        <f t="shared" ref="U158:U163" si="174">Q158-R158-S158-T158</f>
        <v>0</v>
      </c>
      <c r="V158" s="83">
        <v>0</v>
      </c>
      <c r="W158" s="106">
        <v>0</v>
      </c>
      <c r="X158" s="106">
        <v>5281701.3899999997</v>
      </c>
      <c r="Y158" s="106">
        <v>0</v>
      </c>
      <c r="Z158" s="106">
        <v>0</v>
      </c>
      <c r="AA158" s="106">
        <f t="shared" si="133"/>
        <v>-5281701.3899999997</v>
      </c>
      <c r="AB158" s="83"/>
      <c r="AC158" s="83"/>
      <c r="AD158" s="83"/>
      <c r="AE158" s="83"/>
      <c r="AF158" s="83"/>
      <c r="AG158" s="83"/>
      <c r="AH158" s="108">
        <v>0</v>
      </c>
      <c r="AI158" s="83">
        <v>0</v>
      </c>
      <c r="AJ158" s="83">
        <v>0</v>
      </c>
      <c r="AK158" s="83">
        <v>0</v>
      </c>
      <c r="AL158" s="83">
        <v>0</v>
      </c>
      <c r="AM158" s="83">
        <v>0</v>
      </c>
      <c r="AN158" s="83">
        <v>1288010.6000000001</v>
      </c>
      <c r="AO158" s="108">
        <v>0</v>
      </c>
      <c r="AP158" s="83">
        <v>0</v>
      </c>
      <c r="AQ158" s="83">
        <v>0</v>
      </c>
      <c r="AR158" s="83">
        <v>0</v>
      </c>
      <c r="AS158" s="83">
        <v>0</v>
      </c>
      <c r="AT158" s="83">
        <v>0</v>
      </c>
      <c r="AU158" s="83">
        <v>1444009.71</v>
      </c>
      <c r="AV158" s="108">
        <v>0</v>
      </c>
      <c r="AW158" s="83">
        <v>0</v>
      </c>
      <c r="AX158" s="83">
        <v>0</v>
      </c>
      <c r="AY158" s="83">
        <v>0</v>
      </c>
      <c r="AZ158" s="83">
        <v>0</v>
      </c>
      <c r="BA158" s="83">
        <v>0</v>
      </c>
      <c r="BB158" s="83">
        <v>-2081096.27</v>
      </c>
      <c r="BC158" s="108">
        <v>0</v>
      </c>
    </row>
    <row r="159" spans="1:55">
      <c r="A159" s="80" t="s">
        <v>6</v>
      </c>
      <c r="B159" s="102">
        <v>921</v>
      </c>
      <c r="C159" s="103" t="s">
        <v>186</v>
      </c>
      <c r="D159" s="83">
        <v>0</v>
      </c>
      <c r="E159" s="83">
        <v>0</v>
      </c>
      <c r="F159" s="104">
        <f t="shared" si="129"/>
        <v>0</v>
      </c>
      <c r="G159" s="104">
        <v>0</v>
      </c>
      <c r="H159" s="105">
        <f t="shared" si="169"/>
        <v>0</v>
      </c>
      <c r="I159" s="83">
        <v>0</v>
      </c>
      <c r="J159" s="83">
        <v>0</v>
      </c>
      <c r="K159" s="106">
        <f t="shared" si="130"/>
        <v>0</v>
      </c>
      <c r="L159" s="107">
        <v>0</v>
      </c>
      <c r="M159" s="106">
        <f t="shared" si="131"/>
        <v>0</v>
      </c>
      <c r="N159" s="83">
        <v>0</v>
      </c>
      <c r="O159" s="107">
        <v>0</v>
      </c>
      <c r="P159" s="106">
        <f t="shared" si="132"/>
        <v>0</v>
      </c>
      <c r="Q159" s="83">
        <v>0</v>
      </c>
      <c r="R159" s="106">
        <v>0</v>
      </c>
      <c r="S159" s="106">
        <v>0</v>
      </c>
      <c r="T159" s="106">
        <v>0</v>
      </c>
      <c r="U159" s="106">
        <f t="shared" si="174"/>
        <v>0</v>
      </c>
      <c r="V159" s="83">
        <v>5281701.3900000006</v>
      </c>
      <c r="W159" s="106">
        <v>0</v>
      </c>
      <c r="X159" s="106">
        <v>66576957.719999999</v>
      </c>
      <c r="Y159" s="106">
        <v>0</v>
      </c>
      <c r="Z159" s="106">
        <v>0</v>
      </c>
      <c r="AA159" s="106">
        <f t="shared" si="133"/>
        <v>-61295256.329999998</v>
      </c>
      <c r="AB159" s="83">
        <v>0</v>
      </c>
      <c r="AC159" s="83">
        <v>0</v>
      </c>
      <c r="AD159" s="83">
        <v>0</v>
      </c>
      <c r="AE159" s="83">
        <v>0</v>
      </c>
      <c r="AF159" s="83">
        <v>0</v>
      </c>
      <c r="AG159" s="83">
        <v>0</v>
      </c>
      <c r="AH159" s="108">
        <v>68752.44</v>
      </c>
      <c r="AI159" s="83">
        <v>0</v>
      </c>
      <c r="AJ159" s="83">
        <v>0</v>
      </c>
      <c r="AK159" s="83">
        <v>0</v>
      </c>
      <c r="AL159" s="83">
        <v>0</v>
      </c>
      <c r="AM159" s="83">
        <v>0</v>
      </c>
      <c r="AN159" s="83">
        <v>0</v>
      </c>
      <c r="AO159" s="108">
        <v>2173085.3500000029</v>
      </c>
      <c r="AP159" s="83">
        <v>0</v>
      </c>
      <c r="AQ159" s="83">
        <v>0</v>
      </c>
      <c r="AR159" s="83">
        <v>0</v>
      </c>
      <c r="AS159" s="83">
        <v>0</v>
      </c>
      <c r="AT159" s="83">
        <v>0</v>
      </c>
      <c r="AU159" s="83">
        <v>0</v>
      </c>
      <c r="AV159" s="108">
        <v>-11725145.549999997</v>
      </c>
      <c r="AW159" s="83">
        <v>0</v>
      </c>
      <c r="AX159" s="83">
        <v>0</v>
      </c>
      <c r="AY159" s="83">
        <v>0</v>
      </c>
      <c r="AZ159" s="83">
        <v>0</v>
      </c>
      <c r="BA159" s="83">
        <v>0</v>
      </c>
      <c r="BB159" s="83">
        <v>0</v>
      </c>
      <c r="BC159" s="108">
        <v>-786443.2699999999</v>
      </c>
    </row>
    <row r="160" spans="1:55">
      <c r="A160" s="80" t="s">
        <v>6</v>
      </c>
      <c r="B160" s="102">
        <v>922</v>
      </c>
      <c r="C160" s="103" t="s">
        <v>187</v>
      </c>
      <c r="D160" s="83">
        <v>0</v>
      </c>
      <c r="E160" s="83">
        <v>0</v>
      </c>
      <c r="F160" s="104">
        <f t="shared" si="129"/>
        <v>0</v>
      </c>
      <c r="G160" s="104">
        <v>0</v>
      </c>
      <c r="H160" s="105">
        <f t="shared" si="169"/>
        <v>0</v>
      </c>
      <c r="I160" s="83">
        <v>0</v>
      </c>
      <c r="J160" s="83">
        <v>0</v>
      </c>
      <c r="K160" s="106">
        <f t="shared" si="130"/>
        <v>0</v>
      </c>
      <c r="L160" s="107">
        <v>0</v>
      </c>
      <c r="M160" s="106">
        <f t="shared" si="131"/>
        <v>0</v>
      </c>
      <c r="N160" s="83">
        <v>0</v>
      </c>
      <c r="O160" s="107">
        <v>0</v>
      </c>
      <c r="P160" s="106">
        <f t="shared" si="132"/>
        <v>0</v>
      </c>
      <c r="Q160" s="83">
        <v>0</v>
      </c>
      <c r="R160" s="106">
        <v>0</v>
      </c>
      <c r="S160" s="106">
        <v>0</v>
      </c>
      <c r="T160" s="106">
        <v>0</v>
      </c>
      <c r="U160" s="106">
        <f t="shared" si="174"/>
        <v>0</v>
      </c>
      <c r="V160" s="83">
        <v>66711742.570000038</v>
      </c>
      <c r="W160" s="106">
        <v>0</v>
      </c>
      <c r="X160" s="106">
        <v>12986889.300000001</v>
      </c>
      <c r="Y160" s="106">
        <v>0</v>
      </c>
      <c r="Z160" s="106">
        <v>0</v>
      </c>
      <c r="AA160" s="106">
        <f t="shared" si="133"/>
        <v>53724853.270000041</v>
      </c>
      <c r="AB160" s="83">
        <v>0</v>
      </c>
      <c r="AC160" s="83">
        <v>0</v>
      </c>
      <c r="AD160" s="83">
        <v>0</v>
      </c>
      <c r="AE160" s="83">
        <v>0</v>
      </c>
      <c r="AF160" s="83">
        <v>0</v>
      </c>
      <c r="AG160" s="83">
        <v>0</v>
      </c>
      <c r="AH160" s="108">
        <v>-20497552.890000004</v>
      </c>
      <c r="AI160" s="83">
        <v>0</v>
      </c>
      <c r="AJ160" s="83">
        <v>0</v>
      </c>
      <c r="AK160" s="83">
        <v>0</v>
      </c>
      <c r="AL160" s="83">
        <v>0</v>
      </c>
      <c r="AM160" s="83">
        <v>0</v>
      </c>
      <c r="AN160" s="83">
        <v>0</v>
      </c>
      <c r="AO160" s="108">
        <v>71903890.329999983</v>
      </c>
      <c r="AP160" s="83">
        <v>0</v>
      </c>
      <c r="AQ160" s="83">
        <v>0</v>
      </c>
      <c r="AR160" s="83">
        <v>0</v>
      </c>
      <c r="AS160" s="83">
        <v>0</v>
      </c>
      <c r="AT160" s="83">
        <v>0</v>
      </c>
      <c r="AU160" s="83">
        <v>0</v>
      </c>
      <c r="AV160" s="108">
        <v>16603136.250000002</v>
      </c>
      <c r="AW160" s="83">
        <v>0</v>
      </c>
      <c r="AX160" s="83">
        <v>0</v>
      </c>
      <c r="AY160" s="83">
        <v>0</v>
      </c>
      <c r="AZ160" s="83">
        <v>0</v>
      </c>
      <c r="BA160" s="83">
        <v>0</v>
      </c>
      <c r="BB160" s="83">
        <v>0</v>
      </c>
      <c r="BC160" s="108">
        <v>12533341.589999996</v>
      </c>
    </row>
    <row r="161" spans="1:55">
      <c r="A161" s="80" t="s">
        <v>6</v>
      </c>
      <c r="B161" s="102">
        <v>923</v>
      </c>
      <c r="C161" s="103" t="s">
        <v>188</v>
      </c>
      <c r="D161" s="83">
        <v>0</v>
      </c>
      <c r="E161" s="83">
        <v>0</v>
      </c>
      <c r="F161" s="104">
        <f t="shared" si="129"/>
        <v>0</v>
      </c>
      <c r="G161" s="104">
        <v>0</v>
      </c>
      <c r="H161" s="105">
        <f t="shared" si="169"/>
        <v>0</v>
      </c>
      <c r="I161" s="83">
        <v>0</v>
      </c>
      <c r="J161" s="83">
        <v>0</v>
      </c>
      <c r="K161" s="106">
        <f t="shared" si="130"/>
        <v>0</v>
      </c>
      <c r="L161" s="107">
        <v>0</v>
      </c>
      <c r="M161" s="106">
        <f t="shared" si="131"/>
        <v>0</v>
      </c>
      <c r="N161" s="83">
        <v>0</v>
      </c>
      <c r="O161" s="107">
        <v>0</v>
      </c>
      <c r="P161" s="106">
        <f t="shared" si="132"/>
        <v>0</v>
      </c>
      <c r="Q161" s="83">
        <v>0</v>
      </c>
      <c r="R161" s="106">
        <v>0</v>
      </c>
      <c r="S161" s="106">
        <v>0</v>
      </c>
      <c r="T161" s="106">
        <v>0</v>
      </c>
      <c r="U161" s="106">
        <f t="shared" si="174"/>
        <v>0</v>
      </c>
      <c r="V161" s="83">
        <v>12986889.299999995</v>
      </c>
      <c r="W161" s="106">
        <v>0</v>
      </c>
      <c r="X161" s="106">
        <v>85788355.359999999</v>
      </c>
      <c r="Y161" s="106">
        <v>0</v>
      </c>
      <c r="Z161" s="106">
        <v>0</v>
      </c>
      <c r="AA161" s="106">
        <f t="shared" si="133"/>
        <v>-72801466.060000002</v>
      </c>
      <c r="AB161" s="83">
        <v>0</v>
      </c>
      <c r="AC161" s="83">
        <v>0</v>
      </c>
      <c r="AD161" s="83">
        <v>0</v>
      </c>
      <c r="AE161" s="83">
        <v>0</v>
      </c>
      <c r="AF161" s="83">
        <v>0</v>
      </c>
      <c r="AG161" s="83">
        <v>0</v>
      </c>
      <c r="AH161" s="108">
        <v>-1851102.7199999988</v>
      </c>
      <c r="AI161" s="83">
        <v>0</v>
      </c>
      <c r="AJ161" s="83">
        <v>0</v>
      </c>
      <c r="AK161" s="83">
        <v>0</v>
      </c>
      <c r="AL161" s="83">
        <v>0</v>
      </c>
      <c r="AM161" s="83">
        <v>0</v>
      </c>
      <c r="AN161" s="83">
        <v>0</v>
      </c>
      <c r="AO161" s="108">
        <v>-1473656.669999999</v>
      </c>
      <c r="AP161" s="83">
        <v>0</v>
      </c>
      <c r="AQ161" s="83">
        <v>0</v>
      </c>
      <c r="AR161" s="83">
        <v>0</v>
      </c>
      <c r="AS161" s="83">
        <v>0</v>
      </c>
      <c r="AT161" s="83">
        <v>0</v>
      </c>
      <c r="AU161" s="83">
        <v>0</v>
      </c>
      <c r="AV161" s="108">
        <v>-5483604.0200000061</v>
      </c>
      <c r="AW161" s="83">
        <v>0</v>
      </c>
      <c r="AX161" s="83">
        <v>0</v>
      </c>
      <c r="AY161" s="83">
        <v>0</v>
      </c>
      <c r="AZ161" s="83">
        <v>0</v>
      </c>
      <c r="BA161" s="83">
        <v>0</v>
      </c>
      <c r="BB161" s="83">
        <v>0</v>
      </c>
      <c r="BC161" s="108">
        <v>20641012.950000003</v>
      </c>
    </row>
    <row r="162" spans="1:55">
      <c r="A162" s="80" t="s">
        <v>6</v>
      </c>
      <c r="B162" s="102">
        <v>924</v>
      </c>
      <c r="C162" s="103" t="s">
        <v>189</v>
      </c>
      <c r="D162" s="83">
        <v>0</v>
      </c>
      <c r="E162" s="83">
        <v>0</v>
      </c>
      <c r="F162" s="104">
        <f t="shared" si="129"/>
        <v>0</v>
      </c>
      <c r="G162" s="104">
        <v>0</v>
      </c>
      <c r="H162" s="105">
        <f t="shared" si="169"/>
        <v>0</v>
      </c>
      <c r="I162" s="83">
        <v>0</v>
      </c>
      <c r="J162" s="83">
        <v>0</v>
      </c>
      <c r="K162" s="106">
        <f t="shared" si="130"/>
        <v>0</v>
      </c>
      <c r="L162" s="107">
        <v>0</v>
      </c>
      <c r="M162" s="106">
        <f t="shared" si="131"/>
        <v>0</v>
      </c>
      <c r="N162" s="83">
        <v>0</v>
      </c>
      <c r="O162" s="107">
        <v>0</v>
      </c>
      <c r="P162" s="106">
        <f t="shared" si="132"/>
        <v>0</v>
      </c>
      <c r="Q162" s="83">
        <v>0</v>
      </c>
      <c r="R162" s="106">
        <v>0</v>
      </c>
      <c r="S162" s="106">
        <v>0</v>
      </c>
      <c r="T162" s="106">
        <v>0</v>
      </c>
      <c r="U162" s="106">
        <f t="shared" si="174"/>
        <v>0</v>
      </c>
      <c r="V162" s="83">
        <v>-85788355.360000014</v>
      </c>
      <c r="W162" s="106">
        <v>0</v>
      </c>
      <c r="X162" s="106">
        <v>89188000</v>
      </c>
      <c r="Y162" s="106">
        <v>0</v>
      </c>
      <c r="Z162" s="106">
        <v>0</v>
      </c>
      <c r="AA162" s="106">
        <f t="shared" si="133"/>
        <v>-174976355.36000001</v>
      </c>
      <c r="AB162" s="83">
        <v>0</v>
      </c>
      <c r="AC162" s="83">
        <v>0</v>
      </c>
      <c r="AD162" s="83">
        <v>0</v>
      </c>
      <c r="AE162" s="83">
        <v>0</v>
      </c>
      <c r="AF162" s="83">
        <v>0</v>
      </c>
      <c r="AG162" s="83">
        <v>0</v>
      </c>
      <c r="AH162" s="108">
        <v>-20750470.009999998</v>
      </c>
      <c r="AI162" s="83">
        <v>0</v>
      </c>
      <c r="AJ162" s="83">
        <v>0</v>
      </c>
      <c r="AK162" s="83">
        <v>0</v>
      </c>
      <c r="AL162" s="83">
        <v>0</v>
      </c>
      <c r="AM162" s="83">
        <v>0</v>
      </c>
      <c r="AN162" s="83">
        <v>0</v>
      </c>
      <c r="AO162" s="108">
        <v>11566966.41</v>
      </c>
      <c r="AP162" s="83">
        <v>0</v>
      </c>
      <c r="AQ162" s="83">
        <v>0</v>
      </c>
      <c r="AR162" s="83">
        <v>0</v>
      </c>
      <c r="AS162" s="83">
        <v>0</v>
      </c>
      <c r="AT162" s="83">
        <v>0</v>
      </c>
      <c r="AU162" s="83">
        <v>0</v>
      </c>
      <c r="AV162" s="108">
        <v>-1389823.73</v>
      </c>
      <c r="AW162" s="83">
        <v>0</v>
      </c>
      <c r="AX162" s="83">
        <v>0</v>
      </c>
      <c r="AY162" s="83">
        <v>0</v>
      </c>
      <c r="AZ162" s="83">
        <v>0</v>
      </c>
      <c r="BA162" s="83">
        <v>0</v>
      </c>
      <c r="BB162" s="83">
        <v>0</v>
      </c>
      <c r="BC162" s="108">
        <v>24533032.780000005</v>
      </c>
    </row>
    <row r="163" spans="1:55">
      <c r="A163" s="80" t="s">
        <v>6</v>
      </c>
      <c r="B163" s="102">
        <v>925</v>
      </c>
      <c r="C163" s="103" t="s">
        <v>190</v>
      </c>
      <c r="D163" s="83">
        <v>0</v>
      </c>
      <c r="E163" s="83">
        <v>0</v>
      </c>
      <c r="F163" s="104">
        <f t="shared" si="129"/>
        <v>0</v>
      </c>
      <c r="G163" s="104">
        <v>0</v>
      </c>
      <c r="H163" s="105">
        <f t="shared" si="169"/>
        <v>0</v>
      </c>
      <c r="I163" s="83">
        <v>0</v>
      </c>
      <c r="J163" s="83">
        <v>0</v>
      </c>
      <c r="K163" s="106">
        <f t="shared" si="130"/>
        <v>0</v>
      </c>
      <c r="L163" s="107">
        <v>0</v>
      </c>
      <c r="M163" s="106">
        <f t="shared" si="131"/>
        <v>0</v>
      </c>
      <c r="N163" s="83">
        <v>0</v>
      </c>
      <c r="O163" s="107">
        <v>0</v>
      </c>
      <c r="P163" s="106">
        <f t="shared" si="132"/>
        <v>0</v>
      </c>
      <c r="Q163" s="83">
        <v>0</v>
      </c>
      <c r="R163" s="106">
        <v>0</v>
      </c>
      <c r="S163" s="106">
        <v>0</v>
      </c>
      <c r="T163" s="106">
        <v>0</v>
      </c>
      <c r="U163" s="106">
        <f t="shared" si="174"/>
        <v>0</v>
      </c>
      <c r="V163" s="83">
        <v>89188000</v>
      </c>
      <c r="W163" s="106">
        <v>0</v>
      </c>
      <c r="X163" s="106">
        <v>0</v>
      </c>
      <c r="Y163" s="106">
        <v>0</v>
      </c>
      <c r="Z163" s="106">
        <v>0</v>
      </c>
      <c r="AA163" s="106">
        <f t="shared" si="133"/>
        <v>89188000</v>
      </c>
      <c r="AB163" s="83">
        <v>0</v>
      </c>
      <c r="AC163" s="83">
        <v>0</v>
      </c>
      <c r="AD163" s="83">
        <v>0</v>
      </c>
      <c r="AE163" s="83">
        <v>0</v>
      </c>
      <c r="AF163" s="83">
        <v>0</v>
      </c>
      <c r="AG163" s="83">
        <v>0</v>
      </c>
      <c r="AH163" s="108">
        <v>76011000</v>
      </c>
      <c r="AI163" s="83">
        <v>0</v>
      </c>
      <c r="AJ163" s="83">
        <v>0</v>
      </c>
      <c r="AK163" s="83">
        <v>0</v>
      </c>
      <c r="AL163" s="83">
        <v>0</v>
      </c>
      <c r="AM163" s="83">
        <v>0</v>
      </c>
      <c r="AN163" s="83">
        <v>0</v>
      </c>
      <c r="AO163" s="108">
        <v>60084000</v>
      </c>
      <c r="AP163" s="83">
        <v>0</v>
      </c>
      <c r="AQ163" s="83">
        <v>0</v>
      </c>
      <c r="AR163" s="83">
        <v>0</v>
      </c>
      <c r="AS163" s="83">
        <v>0</v>
      </c>
      <c r="AT163" s="83">
        <v>0</v>
      </c>
      <c r="AU163" s="83">
        <v>0</v>
      </c>
      <c r="AV163" s="108">
        <v>60784000</v>
      </c>
      <c r="AW163" s="83">
        <v>0</v>
      </c>
      <c r="AX163" s="83">
        <v>0</v>
      </c>
      <c r="AY163" s="83">
        <v>0</v>
      </c>
      <c r="AZ163" s="83">
        <v>0</v>
      </c>
      <c r="BA163" s="83">
        <v>0</v>
      </c>
      <c r="BB163" s="83">
        <v>0</v>
      </c>
      <c r="BC163" s="108">
        <v>44150250</v>
      </c>
    </row>
    <row r="164" spans="1:55" s="112" customFormat="1">
      <c r="A164" s="109"/>
      <c r="B164" s="84"/>
      <c r="C164" s="103"/>
      <c r="D164" s="110"/>
      <c r="E164" s="110"/>
      <c r="F164" s="104"/>
      <c r="G164" s="104"/>
      <c r="H164" s="105"/>
      <c r="I164" s="110"/>
      <c r="J164" s="110"/>
      <c r="K164" s="106"/>
      <c r="L164" s="107"/>
      <c r="M164" s="106"/>
      <c r="N164" s="110"/>
      <c r="O164" s="107"/>
      <c r="P164" s="106"/>
      <c r="Q164" s="110"/>
      <c r="R164" s="106"/>
      <c r="S164" s="106"/>
      <c r="T164" s="106"/>
      <c r="U164" s="106"/>
      <c r="V164" s="83">
        <v>0</v>
      </c>
      <c r="W164" s="106"/>
      <c r="X164" s="106"/>
      <c r="Y164" s="106"/>
      <c r="Z164" s="106"/>
      <c r="AA164" s="106"/>
      <c r="AB164" s="110"/>
      <c r="AC164" s="110"/>
      <c r="AD164" s="83"/>
      <c r="AE164" s="83"/>
      <c r="AF164" s="83"/>
      <c r="AG164" s="83"/>
      <c r="AH164" s="108">
        <v>0</v>
      </c>
      <c r="AI164" s="83"/>
      <c r="AJ164" s="83"/>
      <c r="AK164" s="83"/>
      <c r="AL164" s="83"/>
      <c r="AM164" s="83"/>
      <c r="AN164" s="83"/>
      <c r="AO164" s="108">
        <v>0</v>
      </c>
      <c r="AP164" s="83"/>
      <c r="AQ164" s="83"/>
      <c r="AR164" s="83"/>
      <c r="AS164" s="83"/>
      <c r="AT164" s="83"/>
      <c r="AU164" s="83"/>
      <c r="AV164" s="108">
        <v>0</v>
      </c>
      <c r="AW164" s="83"/>
      <c r="AX164" s="83"/>
      <c r="AY164" s="83"/>
      <c r="AZ164" s="83"/>
      <c r="BA164" s="83"/>
      <c r="BB164" s="83"/>
      <c r="BC164" s="108">
        <v>0</v>
      </c>
    </row>
    <row r="165" spans="1:55" s="112" customFormat="1">
      <c r="A165" s="80" t="s">
        <v>6</v>
      </c>
      <c r="B165" s="87" t="s">
        <v>197</v>
      </c>
      <c r="C165" s="88"/>
      <c r="D165" s="98">
        <f>SUM(D166:D167)</f>
        <v>0</v>
      </c>
      <c r="E165" s="98">
        <f t="shared" ref="E165:V165" si="175">SUM(E166:E167)</f>
        <v>0</v>
      </c>
      <c r="F165" s="99">
        <f t="shared" si="129"/>
        <v>0</v>
      </c>
      <c r="G165" s="99">
        <f>SUM(G166:G168)</f>
        <v>0</v>
      </c>
      <c r="H165" s="99">
        <f t="shared" ref="H165:H168" si="176">F165-G165</f>
        <v>0</v>
      </c>
      <c r="I165" s="98">
        <f t="shared" si="175"/>
        <v>0</v>
      </c>
      <c r="J165" s="98">
        <f t="shared" si="175"/>
        <v>0</v>
      </c>
      <c r="K165" s="100">
        <f t="shared" si="130"/>
        <v>0</v>
      </c>
      <c r="L165" s="100">
        <f>SUM(L166:L168)</f>
        <v>0</v>
      </c>
      <c r="M165" s="100">
        <f t="shared" si="131"/>
        <v>0</v>
      </c>
      <c r="N165" s="98">
        <f t="shared" si="175"/>
        <v>0</v>
      </c>
      <c r="O165" s="100">
        <f>SUM(O166:O168)</f>
        <v>0</v>
      </c>
      <c r="P165" s="100">
        <f t="shared" si="132"/>
        <v>0</v>
      </c>
      <c r="Q165" s="118">
        <v>-86163540.560000002</v>
      </c>
      <c r="R165" s="100">
        <f>SUM(R166:R168)</f>
        <v>0</v>
      </c>
      <c r="S165" s="100">
        <f>SUM(S166:S168)</f>
        <v>0</v>
      </c>
      <c r="T165" s="100">
        <f>SUM(T166:T168)</f>
        <v>0</v>
      </c>
      <c r="U165" s="100">
        <f>Q165-R165-S165-T165</f>
        <v>-86163540.560000002</v>
      </c>
      <c r="V165" s="98">
        <f t="shared" si="175"/>
        <v>0</v>
      </c>
      <c r="W165" s="100">
        <f t="shared" ref="W165:Z165" si="177">SUM(W166:W168)</f>
        <v>0</v>
      </c>
      <c r="X165" s="100">
        <f t="shared" si="177"/>
        <v>0</v>
      </c>
      <c r="Y165" s="100">
        <f t="shared" si="177"/>
        <v>0</v>
      </c>
      <c r="Z165" s="100">
        <f t="shared" si="177"/>
        <v>0</v>
      </c>
      <c r="AA165" s="100">
        <f t="shared" si="133"/>
        <v>0</v>
      </c>
      <c r="AB165" s="98">
        <f>SUM(AB166:AB167)</f>
        <v>0</v>
      </c>
      <c r="AC165" s="98">
        <f t="shared" ref="AC165:AF165" si="178">SUM(AC166:AC167)</f>
        <v>0</v>
      </c>
      <c r="AD165" s="98">
        <f t="shared" si="178"/>
        <v>0</v>
      </c>
      <c r="AE165" s="98">
        <f t="shared" si="178"/>
        <v>0</v>
      </c>
      <c r="AF165" s="98">
        <f t="shared" si="178"/>
        <v>0</v>
      </c>
      <c r="AG165" s="118">
        <v>-94431668.849999994</v>
      </c>
      <c r="AH165" s="101">
        <f t="shared" ref="AH165" si="179">SUM(AH166:AH167)</f>
        <v>0</v>
      </c>
      <c r="AI165" s="98">
        <f>SUM(AI166:AI167)</f>
        <v>0</v>
      </c>
      <c r="AJ165" s="98">
        <f t="shared" ref="AJ165:AM165" si="180">SUM(AJ166:AJ167)</f>
        <v>0</v>
      </c>
      <c r="AK165" s="98">
        <f t="shared" si="180"/>
        <v>0</v>
      </c>
      <c r="AL165" s="98">
        <f t="shared" si="180"/>
        <v>0</v>
      </c>
      <c r="AM165" s="98">
        <f t="shared" si="180"/>
        <v>0</v>
      </c>
      <c r="AN165" s="118">
        <v>-103418629.23999999</v>
      </c>
      <c r="AO165" s="101">
        <f t="shared" ref="AO165" si="181">SUM(AO166:AO167)</f>
        <v>0</v>
      </c>
      <c r="AP165" s="98">
        <f>SUM(AP166:AP167)</f>
        <v>0</v>
      </c>
      <c r="AQ165" s="98">
        <f t="shared" ref="AQ165:AT165" si="182">SUM(AQ166:AQ167)</f>
        <v>0</v>
      </c>
      <c r="AR165" s="98">
        <f t="shared" si="182"/>
        <v>0</v>
      </c>
      <c r="AS165" s="98">
        <f t="shared" si="182"/>
        <v>0</v>
      </c>
      <c r="AT165" s="98">
        <f t="shared" si="182"/>
        <v>0</v>
      </c>
      <c r="AU165" s="118">
        <f>SUM(AU166:AU168)</f>
        <v>-82896156.550000012</v>
      </c>
      <c r="AV165" s="101">
        <f t="shared" ref="AV165" si="183">SUM(AV166:AV167)</f>
        <v>0</v>
      </c>
      <c r="AW165" s="98">
        <f>SUM(AW166:AW167)</f>
        <v>0</v>
      </c>
      <c r="AX165" s="98">
        <f t="shared" ref="AX165:BA165" si="184">SUM(AX166:AX167)</f>
        <v>0</v>
      </c>
      <c r="AY165" s="98">
        <f t="shared" si="184"/>
        <v>0</v>
      </c>
      <c r="AZ165" s="98">
        <f t="shared" si="184"/>
        <v>0</v>
      </c>
      <c r="BA165" s="98">
        <f t="shared" si="184"/>
        <v>0</v>
      </c>
      <c r="BB165" s="118">
        <f>SUM(BB166:BB168)</f>
        <v>-74003458</v>
      </c>
      <c r="BC165" s="101">
        <f t="shared" ref="BC165" si="185">SUM(BC166:BC167)</f>
        <v>0</v>
      </c>
    </row>
    <row r="166" spans="1:55" s="112" customFormat="1">
      <c r="A166" s="109"/>
      <c r="C166" s="103" t="s">
        <v>9</v>
      </c>
      <c r="D166" s="83"/>
      <c r="E166" s="110"/>
      <c r="F166" s="104">
        <f t="shared" si="129"/>
        <v>0</v>
      </c>
      <c r="G166" s="104">
        <v>0</v>
      </c>
      <c r="H166" s="105">
        <f t="shared" si="176"/>
        <v>0</v>
      </c>
      <c r="I166" s="110"/>
      <c r="J166" s="110"/>
      <c r="K166" s="106">
        <f t="shared" si="130"/>
        <v>0</v>
      </c>
      <c r="L166" s="107">
        <v>0</v>
      </c>
      <c r="M166" s="106">
        <f t="shared" si="131"/>
        <v>0</v>
      </c>
      <c r="N166" s="83"/>
      <c r="O166" s="107">
        <v>0</v>
      </c>
      <c r="P166" s="106">
        <f t="shared" si="132"/>
        <v>0</v>
      </c>
      <c r="Q166" s="110"/>
      <c r="R166" s="106">
        <v>0</v>
      </c>
      <c r="S166" s="106">
        <v>0</v>
      </c>
      <c r="T166" s="106">
        <v>0</v>
      </c>
      <c r="U166" s="106">
        <f t="shared" ref="U166:U168" si="186">Q166-R166-S166-T166</f>
        <v>0</v>
      </c>
      <c r="V166" s="110"/>
      <c r="W166" s="106">
        <v>0</v>
      </c>
      <c r="X166" s="106">
        <v>0</v>
      </c>
      <c r="Y166" s="106">
        <v>0</v>
      </c>
      <c r="Z166" s="106">
        <v>0</v>
      </c>
      <c r="AA166" s="106">
        <f t="shared" si="133"/>
        <v>0</v>
      </c>
      <c r="AB166" s="83"/>
      <c r="AC166" s="110"/>
      <c r="AD166" s="110"/>
      <c r="AE166" s="83"/>
      <c r="AF166" s="83"/>
      <c r="AG166" s="83"/>
      <c r="AH166" s="111"/>
      <c r="AI166" s="83"/>
      <c r="AJ166" s="83"/>
      <c r="AK166" s="83"/>
      <c r="AL166" s="83"/>
      <c r="AM166" s="83"/>
      <c r="AN166" s="83"/>
      <c r="AO166" s="111"/>
      <c r="AP166" s="83"/>
      <c r="AQ166" s="83"/>
      <c r="AR166" s="83"/>
      <c r="AS166" s="83"/>
      <c r="AT166" s="83"/>
      <c r="AU166" s="114">
        <v>-56901128.200000003</v>
      </c>
      <c r="AV166" s="111"/>
      <c r="AW166" s="83"/>
      <c r="AX166" s="83"/>
      <c r="AY166" s="83"/>
      <c r="AZ166" s="83"/>
      <c r="BA166" s="83"/>
      <c r="BB166" s="114">
        <v>-50885934.539999999</v>
      </c>
      <c r="BC166" s="111"/>
    </row>
    <row r="167" spans="1:55" s="112" customFormat="1">
      <c r="A167" s="109"/>
      <c r="C167" s="103" t="s">
        <v>242</v>
      </c>
      <c r="D167" s="110"/>
      <c r="E167" s="110"/>
      <c r="F167" s="104">
        <f t="shared" si="129"/>
        <v>0</v>
      </c>
      <c r="G167" s="104">
        <v>0</v>
      </c>
      <c r="H167" s="105">
        <f t="shared" si="176"/>
        <v>0</v>
      </c>
      <c r="I167" s="110"/>
      <c r="J167" s="110"/>
      <c r="K167" s="106">
        <f t="shared" si="130"/>
        <v>0</v>
      </c>
      <c r="L167" s="107">
        <v>0</v>
      </c>
      <c r="M167" s="106">
        <f t="shared" si="131"/>
        <v>0</v>
      </c>
      <c r="N167" s="110"/>
      <c r="O167" s="107">
        <v>0</v>
      </c>
      <c r="P167" s="106">
        <f t="shared" si="132"/>
        <v>0</v>
      </c>
      <c r="Q167" s="110"/>
      <c r="R167" s="106">
        <v>0</v>
      </c>
      <c r="S167" s="106">
        <v>0</v>
      </c>
      <c r="T167" s="106">
        <v>0</v>
      </c>
      <c r="U167" s="106">
        <f t="shared" si="186"/>
        <v>0</v>
      </c>
      <c r="V167" s="110"/>
      <c r="W167" s="106">
        <v>0</v>
      </c>
      <c r="X167" s="106">
        <v>0</v>
      </c>
      <c r="Y167" s="106">
        <v>0</v>
      </c>
      <c r="Z167" s="106">
        <v>0</v>
      </c>
      <c r="AA167" s="106">
        <f t="shared" si="133"/>
        <v>0</v>
      </c>
      <c r="AB167" s="110"/>
      <c r="AC167" s="110"/>
      <c r="AD167" s="110"/>
      <c r="AE167" s="83"/>
      <c r="AF167" s="83"/>
      <c r="AG167" s="83"/>
      <c r="AH167" s="111"/>
      <c r="AI167" s="83"/>
      <c r="AJ167" s="83"/>
      <c r="AK167" s="83"/>
      <c r="AL167" s="83"/>
      <c r="AM167" s="83"/>
      <c r="AN167" s="83"/>
      <c r="AO167" s="111"/>
      <c r="AP167" s="83"/>
      <c r="AQ167" s="83"/>
      <c r="AR167" s="83"/>
      <c r="AS167" s="83"/>
      <c r="AT167" s="83"/>
      <c r="AU167" s="114">
        <v>-7084333.21</v>
      </c>
      <c r="AV167" s="111"/>
      <c r="AW167" s="83"/>
      <c r="AX167" s="83"/>
      <c r="AY167" s="83"/>
      <c r="AZ167" s="83"/>
      <c r="BA167" s="83"/>
      <c r="BB167" s="114">
        <v>-7278603.2800000003</v>
      </c>
      <c r="BC167" s="111"/>
    </row>
    <row r="168" spans="1:55" s="112" customFormat="1">
      <c r="A168" s="109"/>
      <c r="C168" s="103" t="s">
        <v>243</v>
      </c>
      <c r="D168" s="110"/>
      <c r="E168" s="110"/>
      <c r="F168" s="104">
        <f t="shared" si="129"/>
        <v>0</v>
      </c>
      <c r="G168" s="104">
        <v>0</v>
      </c>
      <c r="H168" s="105">
        <f t="shared" si="176"/>
        <v>0</v>
      </c>
      <c r="I168" s="110"/>
      <c r="J168" s="110"/>
      <c r="K168" s="106">
        <f t="shared" si="130"/>
        <v>0</v>
      </c>
      <c r="L168" s="107">
        <v>0</v>
      </c>
      <c r="M168" s="106">
        <f t="shared" si="131"/>
        <v>0</v>
      </c>
      <c r="N168" s="110"/>
      <c r="O168" s="107">
        <v>0</v>
      </c>
      <c r="P168" s="106">
        <f t="shared" si="132"/>
        <v>0</v>
      </c>
      <c r="Q168" s="110"/>
      <c r="R168" s="106">
        <v>0</v>
      </c>
      <c r="S168" s="106">
        <v>0</v>
      </c>
      <c r="T168" s="106">
        <v>0</v>
      </c>
      <c r="U168" s="106">
        <f t="shared" si="186"/>
        <v>0</v>
      </c>
      <c r="V168" s="110"/>
      <c r="W168" s="106">
        <v>0</v>
      </c>
      <c r="X168" s="106">
        <v>0</v>
      </c>
      <c r="Y168" s="106">
        <v>0</v>
      </c>
      <c r="Z168" s="106">
        <v>0</v>
      </c>
      <c r="AA168" s="106">
        <f t="shared" si="133"/>
        <v>0</v>
      </c>
      <c r="AB168" s="110"/>
      <c r="AC168" s="110"/>
      <c r="AD168" s="110"/>
      <c r="AE168" s="83"/>
      <c r="AF168" s="83"/>
      <c r="AG168" s="83"/>
      <c r="AH168" s="111"/>
      <c r="AI168" s="83"/>
      <c r="AJ168" s="83"/>
      <c r="AK168" s="83"/>
      <c r="AL168" s="83"/>
      <c r="AM168" s="83"/>
      <c r="AN168" s="83"/>
      <c r="AO168" s="111"/>
      <c r="AP168" s="83"/>
      <c r="AQ168" s="83"/>
      <c r="AR168" s="83"/>
      <c r="AS168" s="83"/>
      <c r="AT168" s="83"/>
      <c r="AU168" s="114">
        <v>-18910695.140000001</v>
      </c>
      <c r="AV168" s="111"/>
      <c r="AW168" s="83"/>
      <c r="AX168" s="83"/>
      <c r="AY168" s="83"/>
      <c r="AZ168" s="83"/>
      <c r="BA168" s="83"/>
      <c r="BB168" s="114">
        <v>-15838920.180000002</v>
      </c>
      <c r="BC168" s="111"/>
    </row>
    <row r="169" spans="1:55" s="112" customFormat="1">
      <c r="A169" s="109"/>
      <c r="C169" s="117"/>
      <c r="D169" s="110"/>
      <c r="E169" s="110"/>
      <c r="F169" s="104"/>
      <c r="G169" s="104"/>
      <c r="H169" s="105"/>
      <c r="I169" s="110"/>
      <c r="J169" s="110"/>
      <c r="K169" s="106"/>
      <c r="L169" s="107"/>
      <c r="M169" s="106"/>
      <c r="N169" s="110"/>
      <c r="O169" s="107"/>
      <c r="P169" s="106"/>
      <c r="Q169" s="110"/>
      <c r="R169" s="106"/>
      <c r="S169" s="106"/>
      <c r="T169" s="106"/>
      <c r="U169" s="106"/>
      <c r="V169" s="110"/>
      <c r="W169" s="106"/>
      <c r="X169" s="106"/>
      <c r="Y169" s="106"/>
      <c r="Z169" s="106"/>
      <c r="AA169" s="106"/>
      <c r="AB169" s="110"/>
      <c r="AC169" s="110"/>
      <c r="AD169" s="110"/>
      <c r="AE169" s="83"/>
      <c r="AF169" s="83"/>
      <c r="AG169" s="83"/>
      <c r="AH169" s="111"/>
      <c r="AI169" s="83"/>
      <c r="AJ169" s="83"/>
      <c r="AK169" s="83"/>
      <c r="AL169" s="83"/>
      <c r="AM169" s="83"/>
      <c r="AN169" s="83"/>
      <c r="AO169" s="111"/>
      <c r="AP169" s="83"/>
      <c r="AQ169" s="83"/>
      <c r="AR169" s="83"/>
      <c r="AS169" s="83"/>
      <c r="AT169" s="83"/>
      <c r="AU169" s="83"/>
      <c r="AV169" s="111"/>
      <c r="AW169" s="83"/>
      <c r="AX169" s="83"/>
      <c r="AY169" s="83"/>
      <c r="AZ169" s="83"/>
      <c r="BA169" s="83"/>
      <c r="BB169" s="83"/>
      <c r="BC169" s="111"/>
    </row>
    <row r="170" spans="1:55">
      <c r="B170" s="87" t="s">
        <v>244</v>
      </c>
      <c r="C170" s="88"/>
      <c r="D170" s="98">
        <f>SUM(D171:D175)</f>
        <v>0</v>
      </c>
      <c r="E170" s="98">
        <f t="shared" ref="E170:Q170" si="187">SUM(E171:E175)</f>
        <v>0</v>
      </c>
      <c r="F170" s="99">
        <f t="shared" si="129"/>
        <v>0</v>
      </c>
      <c r="G170" s="99">
        <f>SUM(G171:G175)</f>
        <v>0</v>
      </c>
      <c r="H170" s="99">
        <f t="shared" ref="H170:H177" si="188">F170-G170</f>
        <v>0</v>
      </c>
      <c r="I170" s="98">
        <f t="shared" si="187"/>
        <v>0</v>
      </c>
      <c r="J170" s="98">
        <f t="shared" si="187"/>
        <v>0</v>
      </c>
      <c r="K170" s="100">
        <f t="shared" si="130"/>
        <v>0</v>
      </c>
      <c r="L170" s="100">
        <f>SUM(L171:L175)</f>
        <v>0</v>
      </c>
      <c r="M170" s="100">
        <f t="shared" si="131"/>
        <v>0</v>
      </c>
      <c r="N170" s="98">
        <f t="shared" si="187"/>
        <v>0</v>
      </c>
      <c r="O170" s="100">
        <f>SUM(O171:O175)</f>
        <v>0</v>
      </c>
      <c r="P170" s="100">
        <f t="shared" si="132"/>
        <v>0</v>
      </c>
      <c r="Q170" s="98">
        <f t="shared" si="187"/>
        <v>0</v>
      </c>
      <c r="R170" s="100">
        <f>SUM(R171:R175)</f>
        <v>0</v>
      </c>
      <c r="S170" s="100">
        <f>SUM(S171:S175)</f>
        <v>0</v>
      </c>
      <c r="T170" s="100">
        <f>SUM(T171:T175)</f>
        <v>0</v>
      </c>
      <c r="U170" s="100">
        <f>Q170-R170-S170-T170</f>
        <v>0</v>
      </c>
      <c r="V170" s="98">
        <f>SUM(V171:V175)</f>
        <v>10087122.439999981</v>
      </c>
      <c r="W170" s="100">
        <f t="shared" ref="W170:Z170" si="189">SUM(W171:W175)</f>
        <v>0</v>
      </c>
      <c r="X170" s="100">
        <f t="shared" si="189"/>
        <v>0</v>
      </c>
      <c r="Y170" s="100">
        <f t="shared" si="189"/>
        <v>10518023.01</v>
      </c>
      <c r="Z170" s="100">
        <f t="shared" si="189"/>
        <v>0</v>
      </c>
      <c r="AA170" s="100">
        <f t="shared" si="133"/>
        <v>-430900.57000001892</v>
      </c>
      <c r="AB170" s="98">
        <f>SUM(AB171:AB175)</f>
        <v>0</v>
      </c>
      <c r="AC170" s="98">
        <f t="shared" ref="AC170:AG170" si="190">SUM(AC171:AC175)</f>
        <v>0</v>
      </c>
      <c r="AD170" s="98">
        <f t="shared" si="190"/>
        <v>0</v>
      </c>
      <c r="AE170" s="98">
        <f t="shared" si="190"/>
        <v>0</v>
      </c>
      <c r="AF170" s="98">
        <f t="shared" si="190"/>
        <v>0</v>
      </c>
      <c r="AG170" s="98">
        <f t="shared" si="190"/>
        <v>0</v>
      </c>
      <c r="AH170" s="101">
        <f>SUM(AH171:AH175)</f>
        <v>7265810.2099999972</v>
      </c>
      <c r="AI170" s="98">
        <f>SUM(AI171:AI175)</f>
        <v>0</v>
      </c>
      <c r="AJ170" s="98">
        <f t="shared" ref="AJ170:AN170" si="191">SUM(AJ171:AJ175)</f>
        <v>0</v>
      </c>
      <c r="AK170" s="98">
        <f t="shared" si="191"/>
        <v>0</v>
      </c>
      <c r="AL170" s="98">
        <f t="shared" si="191"/>
        <v>0</v>
      </c>
      <c r="AM170" s="98">
        <f t="shared" si="191"/>
        <v>0</v>
      </c>
      <c r="AN170" s="98">
        <f t="shared" si="191"/>
        <v>0</v>
      </c>
      <c r="AO170" s="101">
        <f>SUM(AO171:AO175)</f>
        <v>11462956.900000002</v>
      </c>
      <c r="AP170" s="98">
        <f>SUM(AP171:AP175)</f>
        <v>0</v>
      </c>
      <c r="AQ170" s="98">
        <f t="shared" ref="AQ170:AU170" si="192">SUM(AQ171:AQ175)</f>
        <v>0</v>
      </c>
      <c r="AR170" s="98">
        <f t="shared" si="192"/>
        <v>0</v>
      </c>
      <c r="AS170" s="98">
        <f t="shared" si="192"/>
        <v>0</v>
      </c>
      <c r="AT170" s="98">
        <f t="shared" si="192"/>
        <v>0</v>
      </c>
      <c r="AU170" s="98">
        <f t="shared" si="192"/>
        <v>0</v>
      </c>
      <c r="AV170" s="101">
        <f>SUM(AV171:AV175)</f>
        <v>2397638.9600000069</v>
      </c>
      <c r="AW170" s="98">
        <f>SUM(AW171:AW175)</f>
        <v>0</v>
      </c>
      <c r="AX170" s="98">
        <f t="shared" ref="AX170:BB170" si="193">SUM(AX171:AX175)</f>
        <v>0</v>
      </c>
      <c r="AY170" s="98">
        <f t="shared" si="193"/>
        <v>0</v>
      </c>
      <c r="AZ170" s="98">
        <f t="shared" si="193"/>
        <v>0</v>
      </c>
      <c r="BA170" s="98">
        <f t="shared" si="193"/>
        <v>0</v>
      </c>
      <c r="BB170" s="98">
        <f t="shared" si="193"/>
        <v>0</v>
      </c>
      <c r="BC170" s="101">
        <f>SUM(BC171:BC175)</f>
        <v>6546380.5700000096</v>
      </c>
    </row>
    <row r="171" spans="1:55">
      <c r="A171" s="80" t="s">
        <v>6</v>
      </c>
      <c r="B171" s="119" t="s">
        <v>191</v>
      </c>
      <c r="C171" s="103" t="s">
        <v>192</v>
      </c>
      <c r="D171" s="83"/>
      <c r="E171" s="83"/>
      <c r="F171" s="104">
        <f t="shared" si="129"/>
        <v>0</v>
      </c>
      <c r="G171" s="104">
        <v>0</v>
      </c>
      <c r="H171" s="105">
        <f t="shared" si="188"/>
        <v>0</v>
      </c>
      <c r="I171" s="83">
        <v>0</v>
      </c>
      <c r="J171" s="83"/>
      <c r="K171" s="106">
        <f t="shared" si="130"/>
        <v>0</v>
      </c>
      <c r="L171" s="107">
        <v>0</v>
      </c>
      <c r="M171" s="106">
        <f t="shared" si="131"/>
        <v>0</v>
      </c>
      <c r="N171" s="83"/>
      <c r="O171" s="107">
        <v>0</v>
      </c>
      <c r="P171" s="106">
        <f t="shared" si="132"/>
        <v>0</v>
      </c>
      <c r="Q171" s="83"/>
      <c r="R171" s="106">
        <v>0</v>
      </c>
      <c r="S171" s="106">
        <v>0</v>
      </c>
      <c r="T171" s="106">
        <v>0</v>
      </c>
      <c r="U171" s="106">
        <f t="shared" ref="U171:U175" si="194">Q171-R171-S171-T171</f>
        <v>0</v>
      </c>
      <c r="V171" s="114">
        <v>-9079.31</v>
      </c>
      <c r="W171" s="106">
        <v>0</v>
      </c>
      <c r="X171" s="106">
        <v>0</v>
      </c>
      <c r="Y171" s="106">
        <v>213844.35</v>
      </c>
      <c r="Z171" s="106">
        <v>0</v>
      </c>
      <c r="AA171" s="106">
        <f t="shared" si="133"/>
        <v>-222923.66</v>
      </c>
      <c r="AB171" s="83"/>
      <c r="AC171" s="83"/>
      <c r="AD171" s="83"/>
      <c r="AE171" s="83"/>
      <c r="AF171" s="83"/>
      <c r="AG171" s="83"/>
      <c r="AH171" s="120">
        <v>-3428189.4</v>
      </c>
      <c r="AI171" s="83"/>
      <c r="AJ171" s="83"/>
      <c r="AK171" s="83"/>
      <c r="AL171" s="83"/>
      <c r="AM171" s="83"/>
      <c r="AN171" s="83"/>
      <c r="AO171" s="120">
        <v>-488909.55</v>
      </c>
      <c r="AP171" s="83"/>
      <c r="AQ171" s="83"/>
      <c r="AR171" s="83"/>
      <c r="AS171" s="83"/>
      <c r="AT171" s="83"/>
      <c r="AU171" s="83"/>
      <c r="AV171" s="120">
        <v>-9027694.4800000004</v>
      </c>
      <c r="AW171" s="83"/>
      <c r="AX171" s="83"/>
      <c r="AY171" s="83"/>
      <c r="AZ171" s="83"/>
      <c r="BA171" s="83"/>
      <c r="BB171" s="83"/>
      <c r="BC171" s="120">
        <v>-5446800</v>
      </c>
    </row>
    <row r="172" spans="1:55">
      <c r="A172" s="80" t="s">
        <v>6</v>
      </c>
      <c r="B172" s="102">
        <v>951</v>
      </c>
      <c r="C172" s="103" t="s">
        <v>193</v>
      </c>
      <c r="D172" s="83">
        <v>0</v>
      </c>
      <c r="E172" s="83">
        <v>0</v>
      </c>
      <c r="F172" s="104">
        <f t="shared" si="129"/>
        <v>0</v>
      </c>
      <c r="G172" s="104">
        <v>0</v>
      </c>
      <c r="H172" s="105">
        <f t="shared" si="188"/>
        <v>0</v>
      </c>
      <c r="I172" s="83">
        <v>0</v>
      </c>
      <c r="J172" s="83">
        <v>0</v>
      </c>
      <c r="K172" s="106">
        <f t="shared" si="130"/>
        <v>0</v>
      </c>
      <c r="L172" s="107">
        <v>0</v>
      </c>
      <c r="M172" s="106">
        <f t="shared" si="131"/>
        <v>0</v>
      </c>
      <c r="N172" s="83">
        <v>0</v>
      </c>
      <c r="O172" s="107">
        <v>0</v>
      </c>
      <c r="P172" s="106">
        <f t="shared" si="132"/>
        <v>0</v>
      </c>
      <c r="Q172" s="83">
        <v>0</v>
      </c>
      <c r="R172" s="106">
        <v>0</v>
      </c>
      <c r="S172" s="106">
        <v>0</v>
      </c>
      <c r="T172" s="106">
        <v>0</v>
      </c>
      <c r="U172" s="106">
        <f t="shared" si="194"/>
        <v>0</v>
      </c>
      <c r="V172" s="83">
        <v>213844.35</v>
      </c>
      <c r="W172" s="106">
        <v>0</v>
      </c>
      <c r="X172" s="106">
        <v>0</v>
      </c>
      <c r="Y172" s="106">
        <v>10179028.26</v>
      </c>
      <c r="Z172" s="106">
        <v>0</v>
      </c>
      <c r="AA172" s="106">
        <f t="shared" si="133"/>
        <v>-9965183.9100000001</v>
      </c>
      <c r="AB172" s="83"/>
      <c r="AC172" s="83"/>
      <c r="AD172" s="83"/>
      <c r="AE172" s="83"/>
      <c r="AF172" s="83"/>
      <c r="AG172" s="83"/>
      <c r="AH172" s="108">
        <v>0</v>
      </c>
      <c r="AI172" s="83"/>
      <c r="AJ172" s="83"/>
      <c r="AK172" s="83"/>
      <c r="AL172" s="83"/>
      <c r="AM172" s="83"/>
      <c r="AN172" s="83"/>
      <c r="AO172" s="108">
        <v>0</v>
      </c>
      <c r="AP172" s="83"/>
      <c r="AQ172" s="83"/>
      <c r="AR172" s="83"/>
      <c r="AS172" s="83"/>
      <c r="AT172" s="83"/>
      <c r="AU172" s="83"/>
      <c r="AV172" s="108">
        <v>0</v>
      </c>
      <c r="AW172" s="83"/>
      <c r="AX172" s="83"/>
      <c r="AY172" s="83"/>
      <c r="AZ172" s="83"/>
      <c r="BA172" s="83"/>
      <c r="BB172" s="83"/>
      <c r="BC172" s="108">
        <v>0</v>
      </c>
    </row>
    <row r="173" spans="1:55">
      <c r="A173" s="80" t="s">
        <v>6</v>
      </c>
      <c r="B173" s="102">
        <v>952</v>
      </c>
      <c r="C173" s="103" t="s">
        <v>194</v>
      </c>
      <c r="D173" s="83">
        <v>0</v>
      </c>
      <c r="E173" s="83">
        <v>0</v>
      </c>
      <c r="F173" s="104">
        <f t="shared" si="129"/>
        <v>0</v>
      </c>
      <c r="G173" s="104">
        <v>0</v>
      </c>
      <c r="H173" s="105">
        <f t="shared" si="188"/>
        <v>0</v>
      </c>
      <c r="I173" s="83">
        <v>0</v>
      </c>
      <c r="J173" s="83">
        <v>0</v>
      </c>
      <c r="K173" s="106">
        <f t="shared" si="130"/>
        <v>0</v>
      </c>
      <c r="L173" s="107">
        <v>0</v>
      </c>
      <c r="M173" s="106">
        <f t="shared" si="131"/>
        <v>0</v>
      </c>
      <c r="N173" s="83">
        <v>0</v>
      </c>
      <c r="O173" s="107">
        <v>0</v>
      </c>
      <c r="P173" s="106">
        <f t="shared" si="132"/>
        <v>0</v>
      </c>
      <c r="Q173" s="83">
        <v>0</v>
      </c>
      <c r="R173" s="106">
        <v>0</v>
      </c>
      <c r="S173" s="106">
        <v>0</v>
      </c>
      <c r="T173" s="106">
        <v>0</v>
      </c>
      <c r="U173" s="106">
        <f t="shared" si="194"/>
        <v>0</v>
      </c>
      <c r="V173" s="83">
        <v>9757206.9999999814</v>
      </c>
      <c r="W173" s="106">
        <v>0</v>
      </c>
      <c r="X173" s="106">
        <v>0</v>
      </c>
      <c r="Y173" s="106">
        <v>17480.8</v>
      </c>
      <c r="Z173" s="106">
        <v>0</v>
      </c>
      <c r="AA173" s="106">
        <f t="shared" si="133"/>
        <v>9739726.1999999806</v>
      </c>
      <c r="AB173" s="83">
        <v>0</v>
      </c>
      <c r="AC173" s="83">
        <v>0</v>
      </c>
      <c r="AD173" s="83">
        <v>0</v>
      </c>
      <c r="AE173" s="83">
        <v>0</v>
      </c>
      <c r="AF173" s="83">
        <v>0</v>
      </c>
      <c r="AG173" s="83">
        <v>0</v>
      </c>
      <c r="AH173" s="108">
        <v>10587320.839999998</v>
      </c>
      <c r="AI173" s="83">
        <v>0</v>
      </c>
      <c r="AJ173" s="83">
        <v>0</v>
      </c>
      <c r="AK173" s="83">
        <v>0</v>
      </c>
      <c r="AL173" s="83">
        <v>0</v>
      </c>
      <c r="AM173" s="83">
        <v>0</v>
      </c>
      <c r="AN173" s="83">
        <v>0</v>
      </c>
      <c r="AO173" s="108">
        <v>10707445.330000004</v>
      </c>
      <c r="AP173" s="83">
        <v>0</v>
      </c>
      <c r="AQ173" s="83">
        <v>0</v>
      </c>
      <c r="AR173" s="83">
        <v>0</v>
      </c>
      <c r="AS173" s="83">
        <v>0</v>
      </c>
      <c r="AT173" s="83">
        <v>0</v>
      </c>
      <c r="AU173" s="83">
        <v>0</v>
      </c>
      <c r="AV173" s="108">
        <v>11339814.410000008</v>
      </c>
      <c r="AW173" s="83">
        <v>0</v>
      </c>
      <c r="AX173" s="83">
        <v>0</v>
      </c>
      <c r="AY173" s="83">
        <v>0</v>
      </c>
      <c r="AZ173" s="83">
        <v>0</v>
      </c>
      <c r="BA173" s="83">
        <v>0</v>
      </c>
      <c r="BB173" s="83">
        <v>0</v>
      </c>
      <c r="BC173" s="108">
        <v>11111344.410000009</v>
      </c>
    </row>
    <row r="174" spans="1:55">
      <c r="A174" s="80" t="s">
        <v>6</v>
      </c>
      <c r="B174" s="102">
        <v>953</v>
      </c>
      <c r="C174" s="103" t="s">
        <v>195</v>
      </c>
      <c r="D174" s="83">
        <v>0</v>
      </c>
      <c r="E174" s="83">
        <v>0</v>
      </c>
      <c r="F174" s="104">
        <f t="shared" si="129"/>
        <v>0</v>
      </c>
      <c r="G174" s="104">
        <v>0</v>
      </c>
      <c r="H174" s="105">
        <f t="shared" si="188"/>
        <v>0</v>
      </c>
      <c r="I174" s="83">
        <v>0</v>
      </c>
      <c r="J174" s="83">
        <v>0</v>
      </c>
      <c r="K174" s="106">
        <f t="shared" si="130"/>
        <v>0</v>
      </c>
      <c r="L174" s="107">
        <v>0</v>
      </c>
      <c r="M174" s="106">
        <f t="shared" si="131"/>
        <v>0</v>
      </c>
      <c r="N174" s="83">
        <v>0</v>
      </c>
      <c r="O174" s="107">
        <v>0</v>
      </c>
      <c r="P174" s="106">
        <f t="shared" si="132"/>
        <v>0</v>
      </c>
      <c r="Q174" s="83">
        <v>0</v>
      </c>
      <c r="R174" s="106">
        <v>0</v>
      </c>
      <c r="S174" s="106">
        <v>0</v>
      </c>
      <c r="T174" s="106">
        <v>0</v>
      </c>
      <c r="U174" s="106">
        <f t="shared" si="194"/>
        <v>0</v>
      </c>
      <c r="V174" s="83">
        <v>17480.8</v>
      </c>
      <c r="W174" s="106">
        <v>0</v>
      </c>
      <c r="X174" s="106">
        <v>0</v>
      </c>
      <c r="Y174" s="106">
        <v>107669.6</v>
      </c>
      <c r="Z174" s="106">
        <v>0</v>
      </c>
      <c r="AA174" s="106">
        <f t="shared" si="133"/>
        <v>-90188.800000000003</v>
      </c>
      <c r="AB174" s="83">
        <v>0</v>
      </c>
      <c r="AC174" s="83">
        <v>0</v>
      </c>
      <c r="AD174" s="83">
        <v>0</v>
      </c>
      <c r="AE174" s="83">
        <v>0</v>
      </c>
      <c r="AF174" s="83">
        <v>0</v>
      </c>
      <c r="AG174" s="83">
        <v>0</v>
      </c>
      <c r="AH174" s="108">
        <v>106678.77</v>
      </c>
      <c r="AI174" s="83">
        <v>0</v>
      </c>
      <c r="AJ174" s="83">
        <v>0</v>
      </c>
      <c r="AK174" s="83">
        <v>0</v>
      </c>
      <c r="AL174" s="83">
        <v>0</v>
      </c>
      <c r="AM174" s="83">
        <v>0</v>
      </c>
      <c r="AN174" s="83">
        <v>0</v>
      </c>
      <c r="AO174" s="108">
        <v>1244421.1200000001</v>
      </c>
      <c r="AP174" s="83">
        <v>0</v>
      </c>
      <c r="AQ174" s="83">
        <v>0</v>
      </c>
      <c r="AR174" s="83">
        <v>0</v>
      </c>
      <c r="AS174" s="83">
        <v>0</v>
      </c>
      <c r="AT174" s="83">
        <v>0</v>
      </c>
      <c r="AU174" s="83">
        <v>0</v>
      </c>
      <c r="AV174" s="108">
        <v>85519.03</v>
      </c>
      <c r="AW174" s="83">
        <v>0</v>
      </c>
      <c r="AX174" s="83">
        <v>0</v>
      </c>
      <c r="AY174" s="83">
        <v>0</v>
      </c>
      <c r="AZ174" s="83">
        <v>0</v>
      </c>
      <c r="BA174" s="83">
        <v>0</v>
      </c>
      <c r="BB174" s="83">
        <v>0</v>
      </c>
      <c r="BC174" s="108">
        <v>850569.01</v>
      </c>
    </row>
    <row r="175" spans="1:55">
      <c r="A175" s="80" t="s">
        <v>6</v>
      </c>
      <c r="B175" s="102">
        <v>954</v>
      </c>
      <c r="C175" s="103" t="s">
        <v>196</v>
      </c>
      <c r="D175" s="83">
        <v>0</v>
      </c>
      <c r="E175" s="83">
        <v>0</v>
      </c>
      <c r="F175" s="104">
        <f t="shared" si="129"/>
        <v>0</v>
      </c>
      <c r="G175" s="104">
        <v>0</v>
      </c>
      <c r="H175" s="105">
        <f t="shared" si="188"/>
        <v>0</v>
      </c>
      <c r="I175" s="83">
        <v>0</v>
      </c>
      <c r="J175" s="83">
        <v>0</v>
      </c>
      <c r="K175" s="106">
        <f t="shared" si="130"/>
        <v>0</v>
      </c>
      <c r="L175" s="107">
        <v>0</v>
      </c>
      <c r="M175" s="106">
        <f t="shared" si="131"/>
        <v>0</v>
      </c>
      <c r="N175" s="83">
        <v>0</v>
      </c>
      <c r="O175" s="107">
        <v>0</v>
      </c>
      <c r="P175" s="106">
        <f t="shared" si="132"/>
        <v>0</v>
      </c>
      <c r="Q175" s="83">
        <v>0</v>
      </c>
      <c r="R175" s="106">
        <v>0</v>
      </c>
      <c r="S175" s="106">
        <v>0</v>
      </c>
      <c r="T175" s="106">
        <v>0</v>
      </c>
      <c r="U175" s="106">
        <f t="shared" si="194"/>
        <v>0</v>
      </c>
      <c r="V175" s="83">
        <v>107669.6</v>
      </c>
      <c r="W175" s="106">
        <v>0</v>
      </c>
      <c r="X175" s="106">
        <v>0</v>
      </c>
      <c r="Y175" s="106">
        <v>0</v>
      </c>
      <c r="Z175" s="106">
        <v>0</v>
      </c>
      <c r="AA175" s="106">
        <f t="shared" si="133"/>
        <v>107669.6</v>
      </c>
      <c r="AB175" s="83"/>
      <c r="AC175" s="83"/>
      <c r="AD175" s="83"/>
      <c r="AE175" s="83"/>
      <c r="AF175" s="83"/>
      <c r="AG175" s="83"/>
      <c r="AH175" s="108">
        <v>0</v>
      </c>
      <c r="AI175" s="83"/>
      <c r="AJ175" s="83"/>
      <c r="AK175" s="83"/>
      <c r="AL175" s="83"/>
      <c r="AM175" s="83"/>
      <c r="AN175" s="83"/>
      <c r="AO175" s="108"/>
      <c r="AP175" s="83"/>
      <c r="AQ175" s="83"/>
      <c r="AR175" s="83"/>
      <c r="AS175" s="83"/>
      <c r="AT175" s="83"/>
      <c r="AU175" s="83"/>
      <c r="AV175" s="108">
        <v>0</v>
      </c>
      <c r="AW175" s="83">
        <v>0</v>
      </c>
      <c r="AX175" s="83">
        <v>0</v>
      </c>
      <c r="AY175" s="83">
        <v>0</v>
      </c>
      <c r="AZ175" s="83">
        <v>0</v>
      </c>
      <c r="BA175" s="83">
        <v>0</v>
      </c>
      <c r="BB175" s="83">
        <v>0</v>
      </c>
      <c r="BC175" s="108">
        <v>31267.15</v>
      </c>
    </row>
    <row r="176" spans="1:55">
      <c r="C176" s="103"/>
      <c r="D176" s="83"/>
      <c r="E176" s="83"/>
      <c r="F176" s="99"/>
      <c r="G176" s="105"/>
      <c r="H176" s="99"/>
      <c r="I176" s="83"/>
      <c r="J176" s="83"/>
      <c r="K176" s="106"/>
      <c r="L176" s="107"/>
      <c r="M176" s="106"/>
      <c r="N176" s="83"/>
      <c r="O176" s="106"/>
      <c r="P176" s="106"/>
      <c r="Q176" s="83"/>
      <c r="R176" s="107"/>
      <c r="S176" s="107"/>
      <c r="T176" s="107"/>
      <c r="U176" s="106"/>
      <c r="V176" s="83"/>
      <c r="W176" s="107"/>
      <c r="X176" s="107"/>
      <c r="Y176" s="107"/>
      <c r="Z176" s="107"/>
      <c r="AA176" s="107"/>
      <c r="AB176" s="83"/>
      <c r="AC176" s="83"/>
      <c r="AD176" s="83"/>
      <c r="AE176" s="83"/>
      <c r="AF176" s="83"/>
      <c r="AG176" s="83"/>
      <c r="AH176" s="108"/>
      <c r="AI176" s="83"/>
      <c r="AJ176" s="83"/>
      <c r="AK176" s="83"/>
      <c r="AL176" s="83"/>
      <c r="AM176" s="83"/>
      <c r="AN176" s="83"/>
      <c r="AO176" s="108"/>
      <c r="AP176" s="83"/>
      <c r="AQ176" s="83"/>
      <c r="AR176" s="83"/>
      <c r="AS176" s="83"/>
      <c r="AT176" s="83"/>
      <c r="AU176" s="83"/>
      <c r="AV176" s="108"/>
      <c r="AW176" s="83"/>
      <c r="AX176" s="83"/>
      <c r="AY176" s="83"/>
      <c r="AZ176" s="83"/>
      <c r="BA176" s="83"/>
      <c r="BB176" s="83"/>
      <c r="BC176" s="108"/>
    </row>
    <row r="177" spans="2:55">
      <c r="B177" s="87" t="s">
        <v>40</v>
      </c>
      <c r="C177" s="88"/>
      <c r="D177" s="98">
        <f>D5+D12+D30+D33+D36+D52+D84+D87+D92+D95+D98+D110+D136+D146+D150+D154+D157+D165+D170</f>
        <v>609849087.99000001</v>
      </c>
      <c r="E177" s="98">
        <f>E5+E12+E30+E33+E36+E52+E84+E87+E92+E95+E98+E110+E136+E146+E150+E154+E157+E165+E170</f>
        <v>491638803.33999997</v>
      </c>
      <c r="F177" s="99">
        <f t="shared" si="129"/>
        <v>1101487891.3299999</v>
      </c>
      <c r="G177" s="99">
        <f>G170+G165+G157+G154+G150+G146+G136+G110+G98+G95+G92+G87+G84+G52+G36+G33+G30+G12+G5</f>
        <v>1105540802.4000001</v>
      </c>
      <c r="H177" s="99">
        <f t="shared" si="188"/>
        <v>-4052911.0700001717</v>
      </c>
      <c r="I177" s="98">
        <f>I5+I12+I30+I33+I36+I52+I84+I87+I92+I95+I98+I110+I136+I146+I150+I154+I157+I165+I170</f>
        <v>168481711.03</v>
      </c>
      <c r="J177" s="98">
        <f>J5+J12+J30+J33+J36+J52+J84+J87+J92+J95+J98+J110+J136+J146+J150+J154+J157+J165+J170</f>
        <v>270262938.95000005</v>
      </c>
      <c r="K177" s="100">
        <f t="shared" si="130"/>
        <v>438744649.98000002</v>
      </c>
      <c r="L177" s="99">
        <f>L170+L165+L157+L154+L150+L146+L136+L110+L98+L95+L92+L87+L84+L52+L36+L33+L30+L12+L5</f>
        <v>438744649.9799999</v>
      </c>
      <c r="M177" s="100">
        <f>K177-L177</f>
        <v>0</v>
      </c>
      <c r="N177" s="98">
        <f>N5+N12+N30+N33+N36+N52+N84+N87+N92+N95+N98+N110+N136+N146+N150+N154+N157+N165+N170</f>
        <v>607669539.11000013</v>
      </c>
      <c r="O177" s="99">
        <f>O170+O165+O157+O154+O150+O146+O136+O110+O98+O95+O92+O87+O84+O52+O36+O33+O30+O12+O5</f>
        <v>608280074.70999992</v>
      </c>
      <c r="P177" s="100">
        <f>N177-O177</f>
        <v>-610535.59999978542</v>
      </c>
      <c r="Q177" s="98">
        <f>Q5+Q12+Q30+Q33+Q36+Q52+Q84+Q87+Q92+Q95+Q98+Q110+Q136+Q146+Q150+Q154+Q157+Q165+Q170+Q134</f>
        <v>628943825.54999995</v>
      </c>
      <c r="R177" s="99">
        <f>R170+R165+R157+R154+R150+R146+R136+R110+R98+R95+R92+R87+R84+R52+R36+R33+R30+R12+R5</f>
        <v>447485339.42000002</v>
      </c>
      <c r="S177" s="99">
        <f>S170+S165+S157+S154+S150+S146+S136+S110+S98+S95+S92+S87+S84+S52+S36+S33+S30+S12+S5</f>
        <v>316305989.05000001</v>
      </c>
      <c r="T177" s="99">
        <f>T170+T165+T157+T154+T150+T146+T136+T110+T98+T95+T92+T87+T84+T52+T36+T33+T30+T12+T5</f>
        <v>675785227.26000011</v>
      </c>
      <c r="U177" s="100">
        <f>Q177-R177-S177-T177</f>
        <v>-810632730.18000019</v>
      </c>
      <c r="V177" s="98">
        <f t="shared" ref="V177:AF177" si="195">V5+V12+V30+V33+V36+V52+V84+V87+V92+V95+V98+V110+V136+V146+V150+V154+V157+V165+V170</f>
        <v>456139981.59999996</v>
      </c>
      <c r="W177" s="99">
        <f t="shared" ref="W177:Z177" si="196">W170+W165+W157+W154+W150+W146+W136+W110+W98+W95+W92+W87+W84+W52+W36+W33+W30+W12+W5</f>
        <v>0</v>
      </c>
      <c r="X177" s="99">
        <f t="shared" si="196"/>
        <v>259821903.76999998</v>
      </c>
      <c r="Y177" s="99">
        <f t="shared" si="196"/>
        <v>71434416.239999995</v>
      </c>
      <c r="Z177" s="99">
        <f t="shared" si="196"/>
        <v>286651403.13999999</v>
      </c>
      <c r="AA177" s="100">
        <f t="shared" si="133"/>
        <v>-161767741.55000001</v>
      </c>
      <c r="AB177" s="98">
        <f t="shared" si="195"/>
        <v>634742206.27000022</v>
      </c>
      <c r="AC177" s="98">
        <f t="shared" si="195"/>
        <v>538813786.32000017</v>
      </c>
      <c r="AD177" s="98">
        <f t="shared" si="195"/>
        <v>190814126.21000004</v>
      </c>
      <c r="AE177" s="98">
        <f t="shared" si="195"/>
        <v>300210495.05000007</v>
      </c>
      <c r="AF177" s="98">
        <f t="shared" si="195"/>
        <v>621967731.96000004</v>
      </c>
      <c r="AG177" s="98">
        <f>AG5+AG12+AG30+AG33+AG36+AG52+AG84+AG87+AG92+AG95+AG98+AG110+AG136+AG146+AG150+AG154+AG157+AG165+AG170+AG134</f>
        <v>595817292.86999989</v>
      </c>
      <c r="AH177" s="101">
        <f t="shared" ref="AH177:AM177" si="197">AH5+AH12+AH30+AH33+AH36+AH52+AH84+AH87+AH92+AH95+AH98+AH110+AH136+AH146+AH150+AH154+AH157+AH165+AH170</f>
        <v>476942353.27999997</v>
      </c>
      <c r="AI177" s="98">
        <f t="shared" si="197"/>
        <v>696727248.04999983</v>
      </c>
      <c r="AJ177" s="98">
        <f t="shared" si="197"/>
        <v>581166445.1099993</v>
      </c>
      <c r="AK177" s="98">
        <f t="shared" si="197"/>
        <v>197083097.96999994</v>
      </c>
      <c r="AL177" s="98">
        <f t="shared" si="197"/>
        <v>367775901.13999999</v>
      </c>
      <c r="AM177" s="98">
        <f t="shared" si="197"/>
        <v>710551651.13999975</v>
      </c>
      <c r="AN177" s="98">
        <f>AN5+AN12+AN30+AN33+AN36+AN52+AN84+AN87+AN92+AN95+AN98+AN110+AN136+AN146+AN150+AN154+AN157+AN165+AN170+AN134</f>
        <v>587072448.30999994</v>
      </c>
      <c r="AO177" s="101">
        <f t="shared" ref="AO177:AT177" si="198">AO5+AO12+AO30+AO33+AO36+AO52+AO84+AO87+AO92+AO95+AO98+AO110+AO136+AO146+AO150+AO154+AO157+AO165+AO170</f>
        <v>660650538.02999997</v>
      </c>
      <c r="AP177" s="98">
        <f t="shared" si="198"/>
        <v>702439448.91999996</v>
      </c>
      <c r="AQ177" s="98">
        <f t="shared" si="198"/>
        <v>573702706.58000028</v>
      </c>
      <c r="AR177" s="98">
        <f t="shared" si="198"/>
        <v>214892059.31000006</v>
      </c>
      <c r="AS177" s="98">
        <f t="shared" si="198"/>
        <v>412902416.41999996</v>
      </c>
      <c r="AT177" s="98">
        <f t="shared" si="198"/>
        <v>795625276.42999983</v>
      </c>
      <c r="AU177" s="98">
        <f>AU5+AU12+AU30+AU33+AU36+AU52+AU84+AU87+AU92+AU95+AU98+AU110+AU136+AU146+AU150+AU154+AU157+AU165+AU170+AU134</f>
        <v>689198793.19999993</v>
      </c>
      <c r="AV177" s="101">
        <f t="shared" ref="AV177:BA177" si="199">AV5+AV12+AV30+AV33+AV36+AV52+AV84+AV87+AV92+AV95+AV98+AV110+AV136+AV146+AV150+AV154+AV157+AV165+AV170</f>
        <v>562451067.07000005</v>
      </c>
      <c r="AW177" s="98">
        <f t="shared" si="199"/>
        <v>555751998.57999957</v>
      </c>
      <c r="AX177" s="98">
        <f t="shared" si="199"/>
        <v>451169959.74999988</v>
      </c>
      <c r="AY177" s="98">
        <f t="shared" si="199"/>
        <v>165558762.41000012</v>
      </c>
      <c r="AZ177" s="98">
        <f t="shared" si="199"/>
        <v>311184262.57999998</v>
      </c>
      <c r="BA177" s="98">
        <f t="shared" si="199"/>
        <v>598497117.25000048</v>
      </c>
      <c r="BB177" s="98">
        <f>BB5+BB12+BB30+BB33+BB36+BB52+BB84+BB87+BB92+BB95+BB98+BB110+BB136+BB146+BB150+BB154+BB157+BB165+BB170+BB134</f>
        <v>438697443.54000026</v>
      </c>
      <c r="BC177" s="101">
        <f>BC5+BC12+BC30+BC33+BC36+BC52+BC84+BC87+BC92+BC95+BC98+BC110+BC136+BC146+BC150+BC154+BC157+BC165+BC170</f>
        <v>521058489.47999996</v>
      </c>
    </row>
    <row r="179" spans="2:55">
      <c r="C179" s="84" t="s">
        <v>270</v>
      </c>
      <c r="D179" s="82">
        <v>393</v>
      </c>
      <c r="E179" s="82">
        <v>233</v>
      </c>
      <c r="F179" s="121">
        <f>SUM(D179:E179)</f>
        <v>626</v>
      </c>
      <c r="K179" s="122">
        <v>61</v>
      </c>
      <c r="AB179" s="84">
        <v>392</v>
      </c>
      <c r="AC179" s="84">
        <v>234</v>
      </c>
      <c r="AE179" s="84">
        <v>64</v>
      </c>
      <c r="AI179" s="84">
        <v>407</v>
      </c>
      <c r="AJ179" s="84">
        <v>238</v>
      </c>
      <c r="AL179" s="84">
        <v>72</v>
      </c>
      <c r="AP179" s="84">
        <v>397</v>
      </c>
      <c r="AQ179" s="84">
        <v>229</v>
      </c>
      <c r="AS179" s="84">
        <v>74</v>
      </c>
    </row>
    <row r="180" spans="2:55">
      <c r="C180" s="84" t="s">
        <v>271</v>
      </c>
      <c r="K180" s="121"/>
    </row>
  </sheetData>
  <autoFilter ref="A4:BC177"/>
  <mergeCells count="20">
    <mergeCell ref="D3:H3"/>
    <mergeCell ref="I3:M3"/>
    <mergeCell ref="N3:AA3"/>
    <mergeCell ref="AB3:AC3"/>
    <mergeCell ref="AD3:AE3"/>
    <mergeCell ref="D2:AA2"/>
    <mergeCell ref="AB2:AH2"/>
    <mergeCell ref="AI2:AO2"/>
    <mergeCell ref="AP2:AV2"/>
    <mergeCell ref="AW2:BC2"/>
    <mergeCell ref="AT3:AU3"/>
    <mergeCell ref="AW3:AX3"/>
    <mergeCell ref="AY3:AZ3"/>
    <mergeCell ref="BA3:BB3"/>
    <mergeCell ref="AF3:AG3"/>
    <mergeCell ref="AI3:AJ3"/>
    <mergeCell ref="AK3:AL3"/>
    <mergeCell ref="AM3:AN3"/>
    <mergeCell ref="AP3:AQ3"/>
    <mergeCell ref="AR3:AS3"/>
  </mergeCells>
  <pageMargins left="0.51181102362204722" right="0.51181102362204722" top="0.78740157480314965" bottom="0.78740157480314965" header="0.31496062992125984" footer="0.31496062992125984"/>
  <pageSetup paperSize="9" scale="5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6"/>
  <dimension ref="A3:CX186"/>
  <sheetViews>
    <sheetView showGridLines="0" zoomScale="80" zoomScaleNormal="80" workbookViewId="0">
      <selection activeCell="D16" sqref="D16"/>
    </sheetView>
  </sheetViews>
  <sheetFormatPr defaultRowHeight="16.5"/>
  <cols>
    <col min="1" max="1" width="8.85546875" style="29"/>
    <col min="2" max="2" width="25.28515625" style="29" customWidth="1"/>
    <col min="3" max="3" width="49.28515625" style="2" bestFit="1" customWidth="1"/>
    <col min="4" max="4" width="16.140625" style="2" customWidth="1"/>
    <col min="5" max="5" width="16.5703125" style="2" customWidth="1"/>
    <col min="6" max="6" width="14.140625" style="2" customWidth="1"/>
    <col min="7" max="8" width="15" style="2" customWidth="1"/>
    <col min="9" max="9" width="17.28515625" style="2" customWidth="1"/>
    <col min="10" max="15" width="15.28515625" style="2" customWidth="1"/>
    <col min="16" max="21" width="16.28515625" style="2" customWidth="1"/>
    <col min="22" max="28" width="15.28515625" style="2" customWidth="1"/>
    <col min="29" max="29" width="16.28515625" style="2" customWidth="1"/>
    <col min="30" max="30" width="16.7109375" style="2" customWidth="1"/>
    <col min="31" max="31" width="14.28515625" style="2" customWidth="1"/>
    <col min="32" max="32" width="13.5703125" style="2" customWidth="1"/>
    <col min="33" max="34" width="14.28515625" style="2" customWidth="1"/>
    <col min="35" max="35" width="16.85546875" style="2" customWidth="1"/>
    <col min="36" max="36" width="18.28515625" style="2" customWidth="1"/>
    <col min="37" max="37" width="14.85546875" style="2" customWidth="1"/>
    <col min="38" max="38" width="14.7109375" style="2" customWidth="1"/>
    <col min="39" max="39" width="15.28515625" style="2" customWidth="1"/>
    <col min="40" max="40" width="15.42578125" style="2" customWidth="1"/>
    <col min="41" max="41" width="15.85546875" style="2" customWidth="1"/>
    <col min="42" max="42" width="17.140625" style="2" customWidth="1"/>
    <col min="43" max="44" width="17.28515625" style="2" customWidth="1"/>
    <col min="45" max="45" width="15" style="2" customWidth="1"/>
    <col min="46" max="46" width="10.7109375" style="2" customWidth="1"/>
    <col min="47" max="47" width="14" style="2" customWidth="1"/>
    <col min="48" max="49" width="15.42578125" style="2" customWidth="1"/>
    <col min="50" max="52" width="14.140625" style="2" customWidth="1"/>
    <col min="53" max="53" width="15" style="2" customWidth="1"/>
    <col min="54" max="54" width="13" style="2" customWidth="1"/>
    <col min="55" max="55" width="13.42578125" style="2" customWidth="1"/>
    <col min="56" max="57" width="15" style="2" customWidth="1"/>
    <col min="58" max="59" width="14.140625" style="2" customWidth="1"/>
    <col min="60" max="61" width="15" style="2" customWidth="1"/>
    <col min="62" max="62" width="11.7109375" style="2" customWidth="1"/>
    <col min="63" max="63" width="13.28515625" style="2" customWidth="1"/>
    <col min="64" max="65" width="15" style="2" customWidth="1"/>
    <col min="66" max="67" width="14.140625" style="2" customWidth="1"/>
    <col min="68" max="69" width="15" style="2" customWidth="1"/>
    <col min="70" max="70" width="14.140625" style="2" customWidth="1"/>
    <col min="71" max="71" width="15" style="2" customWidth="1"/>
    <col min="72" max="72" width="14.42578125" style="2" customWidth="1"/>
    <col min="73" max="73" width="13.42578125" style="2" customWidth="1"/>
    <col min="74" max="74" width="10.7109375" style="2" customWidth="1"/>
    <col min="75" max="78" width="13.42578125" style="2" customWidth="1"/>
    <col min="79" max="80" width="14.42578125" style="2" customWidth="1"/>
    <col min="81" max="81" width="11.28515625" style="2" customWidth="1"/>
    <col min="82" max="82" width="13.28515625" style="2" customWidth="1"/>
    <col min="83" max="83" width="17.28515625" style="2" customWidth="1"/>
    <col min="84" max="84" width="16" style="2" customWidth="1"/>
    <col min="85" max="85" width="15.28515625" style="2" customWidth="1"/>
    <col min="86" max="86" width="17.28515625" style="2" customWidth="1"/>
    <col min="87" max="87" width="18" style="2" customWidth="1"/>
    <col min="88" max="88" width="11.28515625" style="2" customWidth="1"/>
    <col min="89" max="89" width="14" style="2" customWidth="1"/>
    <col min="90" max="90" width="12.140625" style="2" customWidth="1"/>
    <col min="91" max="303" width="8.85546875" style="2"/>
    <col min="304" max="304" width="25.28515625" style="2" customWidth="1"/>
    <col min="305" max="305" width="49.28515625" style="2" bestFit="1" customWidth="1"/>
    <col min="306" max="306" width="16.140625" style="2" customWidth="1"/>
    <col min="307" max="307" width="9.140625" style="2" customWidth="1"/>
    <col min="308" max="308" width="15.28515625" style="2" bestFit="1" customWidth="1"/>
    <col min="309" max="309" width="16.28515625" style="2" bestFit="1" customWidth="1"/>
    <col min="310" max="310" width="15.28515625" style="2" bestFit="1" customWidth="1"/>
    <col min="311" max="311" width="16.28515625" style="2" customWidth="1"/>
    <col min="312" max="312" width="16.7109375" style="2" customWidth="1"/>
    <col min="313" max="313" width="9.5703125" style="2" customWidth="1"/>
    <col min="314" max="316" width="14.28515625" style="2" customWidth="1"/>
    <col min="317" max="317" width="16.85546875" style="2" customWidth="1"/>
    <col min="318" max="318" width="18.28515625" style="2" customWidth="1"/>
    <col min="319" max="319" width="8" style="2" customWidth="1"/>
    <col min="320" max="320" width="14.7109375" style="2" customWidth="1"/>
    <col min="321" max="321" width="15.28515625" style="2" customWidth="1"/>
    <col min="322" max="322" width="15.42578125" style="2" customWidth="1"/>
    <col min="323" max="323" width="15.85546875" style="2" customWidth="1"/>
    <col min="324" max="324" width="17.140625" style="2" customWidth="1"/>
    <col min="325" max="325" width="9.140625" style="2" customWidth="1"/>
    <col min="326" max="328" width="10.7109375" style="2" customWidth="1"/>
    <col min="329" max="329" width="10.42578125" style="2" customWidth="1"/>
    <col min="330" max="330" width="11.28515625" style="2" customWidth="1"/>
    <col min="331" max="332" width="8.85546875" style="2"/>
    <col min="333" max="333" width="8.85546875" style="2" customWidth="1"/>
    <col min="334" max="334" width="9.28515625" style="2" customWidth="1"/>
    <col min="335" max="335" width="11" style="2" customWidth="1"/>
    <col min="336" max="336" width="12.42578125" style="2" customWidth="1"/>
    <col min="337" max="337" width="16.85546875" style="2" customWidth="1"/>
    <col min="338" max="338" width="18.42578125" style="2" customWidth="1"/>
    <col min="339" max="339" width="17.28515625" style="2" customWidth="1"/>
    <col min="340" max="340" width="16" style="2" customWidth="1"/>
    <col min="341" max="341" width="15.28515625" style="2" customWidth="1"/>
    <col min="342" max="342" width="17.28515625" style="2" customWidth="1"/>
    <col min="343" max="343" width="18" style="2" customWidth="1"/>
    <col min="344" max="344" width="17.5703125" style="2" customWidth="1"/>
    <col min="345" max="345" width="14" style="2" customWidth="1"/>
    <col min="346" max="346" width="12.140625" style="2" customWidth="1"/>
    <col min="347" max="559" width="8.85546875" style="2"/>
    <col min="560" max="560" width="25.28515625" style="2" customWidth="1"/>
    <col min="561" max="561" width="49.28515625" style="2" bestFit="1" customWidth="1"/>
    <col min="562" max="562" width="16.140625" style="2" customWidth="1"/>
    <col min="563" max="563" width="9.140625" style="2" customWidth="1"/>
    <col min="564" max="564" width="15.28515625" style="2" bestFit="1" customWidth="1"/>
    <col min="565" max="565" width="16.28515625" style="2" bestFit="1" customWidth="1"/>
    <col min="566" max="566" width="15.28515625" style="2" bestFit="1" customWidth="1"/>
    <col min="567" max="567" width="16.28515625" style="2" customWidth="1"/>
    <col min="568" max="568" width="16.7109375" style="2" customWidth="1"/>
    <col min="569" max="569" width="9.5703125" style="2" customWidth="1"/>
    <col min="570" max="572" width="14.28515625" style="2" customWidth="1"/>
    <col min="573" max="573" width="16.85546875" style="2" customWidth="1"/>
    <col min="574" max="574" width="18.28515625" style="2" customWidth="1"/>
    <col min="575" max="575" width="8" style="2" customWidth="1"/>
    <col min="576" max="576" width="14.7109375" style="2" customWidth="1"/>
    <col min="577" max="577" width="15.28515625" style="2" customWidth="1"/>
    <col min="578" max="578" width="15.42578125" style="2" customWidth="1"/>
    <col min="579" max="579" width="15.85546875" style="2" customWidth="1"/>
    <col min="580" max="580" width="17.140625" style="2" customWidth="1"/>
    <col min="581" max="581" width="9.140625" style="2" customWidth="1"/>
    <col min="582" max="584" width="10.7109375" style="2" customWidth="1"/>
    <col min="585" max="585" width="10.42578125" style="2" customWidth="1"/>
    <col min="586" max="586" width="11.28515625" style="2" customWidth="1"/>
    <col min="587" max="588" width="8.85546875" style="2"/>
    <col min="589" max="589" width="8.85546875" style="2" customWidth="1"/>
    <col min="590" max="590" width="9.28515625" style="2" customWidth="1"/>
    <col min="591" max="591" width="11" style="2" customWidth="1"/>
    <col min="592" max="592" width="12.42578125" style="2" customWidth="1"/>
    <col min="593" max="593" width="16.85546875" style="2" customWidth="1"/>
    <col min="594" max="594" width="18.42578125" style="2" customWidth="1"/>
    <col min="595" max="595" width="17.28515625" style="2" customWidth="1"/>
    <col min="596" max="596" width="16" style="2" customWidth="1"/>
    <col min="597" max="597" width="15.28515625" style="2" customWidth="1"/>
    <col min="598" max="598" width="17.28515625" style="2" customWidth="1"/>
    <col min="599" max="599" width="18" style="2" customWidth="1"/>
    <col min="600" max="600" width="17.5703125" style="2" customWidth="1"/>
    <col min="601" max="601" width="14" style="2" customWidth="1"/>
    <col min="602" max="602" width="12.140625" style="2" customWidth="1"/>
    <col min="603" max="815" width="8.85546875" style="2"/>
    <col min="816" max="816" width="25.28515625" style="2" customWidth="1"/>
    <col min="817" max="817" width="49.28515625" style="2" bestFit="1" customWidth="1"/>
    <col min="818" max="818" width="16.140625" style="2" customWidth="1"/>
    <col min="819" max="819" width="9.140625" style="2" customWidth="1"/>
    <col min="820" max="820" width="15.28515625" style="2" bestFit="1" customWidth="1"/>
    <col min="821" max="821" width="16.28515625" style="2" bestFit="1" customWidth="1"/>
    <col min="822" max="822" width="15.28515625" style="2" bestFit="1" customWidth="1"/>
    <col min="823" max="823" width="16.28515625" style="2" customWidth="1"/>
    <col min="824" max="824" width="16.7109375" style="2" customWidth="1"/>
    <col min="825" max="825" width="9.5703125" style="2" customWidth="1"/>
    <col min="826" max="828" width="14.28515625" style="2" customWidth="1"/>
    <col min="829" max="829" width="16.85546875" style="2" customWidth="1"/>
    <col min="830" max="830" width="18.28515625" style="2" customWidth="1"/>
    <col min="831" max="831" width="8" style="2" customWidth="1"/>
    <col min="832" max="832" width="14.7109375" style="2" customWidth="1"/>
    <col min="833" max="833" width="15.28515625" style="2" customWidth="1"/>
    <col min="834" max="834" width="15.42578125" style="2" customWidth="1"/>
    <col min="835" max="835" width="15.85546875" style="2" customWidth="1"/>
    <col min="836" max="836" width="17.140625" style="2" customWidth="1"/>
    <col min="837" max="837" width="9.140625" style="2" customWidth="1"/>
    <col min="838" max="840" width="10.7109375" style="2" customWidth="1"/>
    <col min="841" max="841" width="10.42578125" style="2" customWidth="1"/>
    <col min="842" max="842" width="11.28515625" style="2" customWidth="1"/>
    <col min="843" max="844" width="8.85546875" style="2"/>
    <col min="845" max="845" width="8.85546875" style="2" customWidth="1"/>
    <col min="846" max="846" width="9.28515625" style="2" customWidth="1"/>
    <col min="847" max="847" width="11" style="2" customWidth="1"/>
    <col min="848" max="848" width="12.42578125" style="2" customWidth="1"/>
    <col min="849" max="849" width="16.85546875" style="2" customWidth="1"/>
    <col min="850" max="850" width="18.42578125" style="2" customWidth="1"/>
    <col min="851" max="851" width="17.28515625" style="2" customWidth="1"/>
    <col min="852" max="852" width="16" style="2" customWidth="1"/>
    <col min="853" max="853" width="15.28515625" style="2" customWidth="1"/>
    <col min="854" max="854" width="17.28515625" style="2" customWidth="1"/>
    <col min="855" max="855" width="18" style="2" customWidth="1"/>
    <col min="856" max="856" width="17.5703125" style="2" customWidth="1"/>
    <col min="857" max="857" width="14" style="2" customWidth="1"/>
    <col min="858" max="858" width="12.140625" style="2" customWidth="1"/>
    <col min="859" max="1071" width="8.85546875" style="2"/>
    <col min="1072" max="1072" width="25.28515625" style="2" customWidth="1"/>
    <col min="1073" max="1073" width="49.28515625" style="2" bestFit="1" customWidth="1"/>
    <col min="1074" max="1074" width="16.140625" style="2" customWidth="1"/>
    <col min="1075" max="1075" width="9.140625" style="2" customWidth="1"/>
    <col min="1076" max="1076" width="15.28515625" style="2" bestFit="1" customWidth="1"/>
    <col min="1077" max="1077" width="16.28515625" style="2" bestFit="1" customWidth="1"/>
    <col min="1078" max="1078" width="15.28515625" style="2" bestFit="1" customWidth="1"/>
    <col min="1079" max="1079" width="16.28515625" style="2" customWidth="1"/>
    <col min="1080" max="1080" width="16.7109375" style="2" customWidth="1"/>
    <col min="1081" max="1081" width="9.5703125" style="2" customWidth="1"/>
    <col min="1082" max="1084" width="14.28515625" style="2" customWidth="1"/>
    <col min="1085" max="1085" width="16.85546875" style="2" customWidth="1"/>
    <col min="1086" max="1086" width="18.28515625" style="2" customWidth="1"/>
    <col min="1087" max="1087" width="8" style="2" customWidth="1"/>
    <col min="1088" max="1088" width="14.7109375" style="2" customWidth="1"/>
    <col min="1089" max="1089" width="15.28515625" style="2" customWidth="1"/>
    <col min="1090" max="1090" width="15.42578125" style="2" customWidth="1"/>
    <col min="1091" max="1091" width="15.85546875" style="2" customWidth="1"/>
    <col min="1092" max="1092" width="17.140625" style="2" customWidth="1"/>
    <col min="1093" max="1093" width="9.140625" style="2" customWidth="1"/>
    <col min="1094" max="1096" width="10.7109375" style="2" customWidth="1"/>
    <col min="1097" max="1097" width="10.42578125" style="2" customWidth="1"/>
    <col min="1098" max="1098" width="11.28515625" style="2" customWidth="1"/>
    <col min="1099" max="1100" width="8.85546875" style="2"/>
    <col min="1101" max="1101" width="8.85546875" style="2" customWidth="1"/>
    <col min="1102" max="1102" width="9.28515625" style="2" customWidth="1"/>
    <col min="1103" max="1103" width="11" style="2" customWidth="1"/>
    <col min="1104" max="1104" width="12.42578125" style="2" customWidth="1"/>
    <col min="1105" max="1105" width="16.85546875" style="2" customWidth="1"/>
    <col min="1106" max="1106" width="18.42578125" style="2" customWidth="1"/>
    <col min="1107" max="1107" width="17.28515625" style="2" customWidth="1"/>
    <col min="1108" max="1108" width="16" style="2" customWidth="1"/>
    <col min="1109" max="1109" width="15.28515625" style="2" customWidth="1"/>
    <col min="1110" max="1110" width="17.28515625" style="2" customWidth="1"/>
    <col min="1111" max="1111" width="18" style="2" customWidth="1"/>
    <col min="1112" max="1112" width="17.5703125" style="2" customWidth="1"/>
    <col min="1113" max="1113" width="14" style="2" customWidth="1"/>
    <col min="1114" max="1114" width="12.140625" style="2" customWidth="1"/>
    <col min="1115" max="1327" width="8.85546875" style="2"/>
    <col min="1328" max="1328" width="25.28515625" style="2" customWidth="1"/>
    <col min="1329" max="1329" width="49.28515625" style="2" bestFit="1" customWidth="1"/>
    <col min="1330" max="1330" width="16.140625" style="2" customWidth="1"/>
    <col min="1331" max="1331" width="9.140625" style="2" customWidth="1"/>
    <col min="1332" max="1332" width="15.28515625" style="2" bestFit="1" customWidth="1"/>
    <col min="1333" max="1333" width="16.28515625" style="2" bestFit="1" customWidth="1"/>
    <col min="1334" max="1334" width="15.28515625" style="2" bestFit="1" customWidth="1"/>
    <col min="1335" max="1335" width="16.28515625" style="2" customWidth="1"/>
    <col min="1336" max="1336" width="16.7109375" style="2" customWidth="1"/>
    <col min="1337" max="1337" width="9.5703125" style="2" customWidth="1"/>
    <col min="1338" max="1340" width="14.28515625" style="2" customWidth="1"/>
    <col min="1341" max="1341" width="16.85546875" style="2" customWidth="1"/>
    <col min="1342" max="1342" width="18.28515625" style="2" customWidth="1"/>
    <col min="1343" max="1343" width="8" style="2" customWidth="1"/>
    <col min="1344" max="1344" width="14.7109375" style="2" customWidth="1"/>
    <col min="1345" max="1345" width="15.28515625" style="2" customWidth="1"/>
    <col min="1346" max="1346" width="15.42578125" style="2" customWidth="1"/>
    <col min="1347" max="1347" width="15.85546875" style="2" customWidth="1"/>
    <col min="1348" max="1348" width="17.140625" style="2" customWidth="1"/>
    <col min="1349" max="1349" width="9.140625" style="2" customWidth="1"/>
    <col min="1350" max="1352" width="10.7109375" style="2" customWidth="1"/>
    <col min="1353" max="1353" width="10.42578125" style="2" customWidth="1"/>
    <col min="1354" max="1354" width="11.28515625" style="2" customWidth="1"/>
    <col min="1355" max="1356" width="8.85546875" style="2"/>
    <col min="1357" max="1357" width="8.85546875" style="2" customWidth="1"/>
    <col min="1358" max="1358" width="9.28515625" style="2" customWidth="1"/>
    <col min="1359" max="1359" width="11" style="2" customWidth="1"/>
    <col min="1360" max="1360" width="12.42578125" style="2" customWidth="1"/>
    <col min="1361" max="1361" width="16.85546875" style="2" customWidth="1"/>
    <col min="1362" max="1362" width="18.42578125" style="2" customWidth="1"/>
    <col min="1363" max="1363" width="17.28515625" style="2" customWidth="1"/>
    <col min="1364" max="1364" width="16" style="2" customWidth="1"/>
    <col min="1365" max="1365" width="15.28515625" style="2" customWidth="1"/>
    <col min="1366" max="1366" width="17.28515625" style="2" customWidth="1"/>
    <col min="1367" max="1367" width="18" style="2" customWidth="1"/>
    <col min="1368" max="1368" width="17.5703125" style="2" customWidth="1"/>
    <col min="1369" max="1369" width="14" style="2" customWidth="1"/>
    <col min="1370" max="1370" width="12.140625" style="2" customWidth="1"/>
    <col min="1371" max="1583" width="8.85546875" style="2"/>
    <col min="1584" max="1584" width="25.28515625" style="2" customWidth="1"/>
    <col min="1585" max="1585" width="49.28515625" style="2" bestFit="1" customWidth="1"/>
    <col min="1586" max="1586" width="16.140625" style="2" customWidth="1"/>
    <col min="1587" max="1587" width="9.140625" style="2" customWidth="1"/>
    <col min="1588" max="1588" width="15.28515625" style="2" bestFit="1" customWidth="1"/>
    <col min="1589" max="1589" width="16.28515625" style="2" bestFit="1" customWidth="1"/>
    <col min="1590" max="1590" width="15.28515625" style="2" bestFit="1" customWidth="1"/>
    <col min="1591" max="1591" width="16.28515625" style="2" customWidth="1"/>
    <col min="1592" max="1592" width="16.7109375" style="2" customWidth="1"/>
    <col min="1593" max="1593" width="9.5703125" style="2" customWidth="1"/>
    <col min="1594" max="1596" width="14.28515625" style="2" customWidth="1"/>
    <col min="1597" max="1597" width="16.85546875" style="2" customWidth="1"/>
    <col min="1598" max="1598" width="18.28515625" style="2" customWidth="1"/>
    <col min="1599" max="1599" width="8" style="2" customWidth="1"/>
    <col min="1600" max="1600" width="14.7109375" style="2" customWidth="1"/>
    <col min="1601" max="1601" width="15.28515625" style="2" customWidth="1"/>
    <col min="1602" max="1602" width="15.42578125" style="2" customWidth="1"/>
    <col min="1603" max="1603" width="15.85546875" style="2" customWidth="1"/>
    <col min="1604" max="1604" width="17.140625" style="2" customWidth="1"/>
    <col min="1605" max="1605" width="9.140625" style="2" customWidth="1"/>
    <col min="1606" max="1608" width="10.7109375" style="2" customWidth="1"/>
    <col min="1609" max="1609" width="10.42578125" style="2" customWidth="1"/>
    <col min="1610" max="1610" width="11.28515625" style="2" customWidth="1"/>
    <col min="1611" max="1612" width="8.85546875" style="2"/>
    <col min="1613" max="1613" width="8.85546875" style="2" customWidth="1"/>
    <col min="1614" max="1614" width="9.28515625" style="2" customWidth="1"/>
    <col min="1615" max="1615" width="11" style="2" customWidth="1"/>
    <col min="1616" max="1616" width="12.42578125" style="2" customWidth="1"/>
    <col min="1617" max="1617" width="16.85546875" style="2" customWidth="1"/>
    <col min="1618" max="1618" width="18.42578125" style="2" customWidth="1"/>
    <col min="1619" max="1619" width="17.28515625" style="2" customWidth="1"/>
    <col min="1620" max="1620" width="16" style="2" customWidth="1"/>
    <col min="1621" max="1621" width="15.28515625" style="2" customWidth="1"/>
    <col min="1622" max="1622" width="17.28515625" style="2" customWidth="1"/>
    <col min="1623" max="1623" width="18" style="2" customWidth="1"/>
    <col min="1624" max="1624" width="17.5703125" style="2" customWidth="1"/>
    <col min="1625" max="1625" width="14" style="2" customWidth="1"/>
    <col min="1626" max="1626" width="12.140625" style="2" customWidth="1"/>
    <col min="1627" max="1839" width="8.85546875" style="2"/>
    <col min="1840" max="1840" width="25.28515625" style="2" customWidth="1"/>
    <col min="1841" max="1841" width="49.28515625" style="2" bestFit="1" customWidth="1"/>
    <col min="1842" max="1842" width="16.140625" style="2" customWidth="1"/>
    <col min="1843" max="1843" width="9.140625" style="2" customWidth="1"/>
    <col min="1844" max="1844" width="15.28515625" style="2" bestFit="1" customWidth="1"/>
    <col min="1845" max="1845" width="16.28515625" style="2" bestFit="1" customWidth="1"/>
    <col min="1846" max="1846" width="15.28515625" style="2" bestFit="1" customWidth="1"/>
    <col min="1847" max="1847" width="16.28515625" style="2" customWidth="1"/>
    <col min="1848" max="1848" width="16.7109375" style="2" customWidth="1"/>
    <col min="1849" max="1849" width="9.5703125" style="2" customWidth="1"/>
    <col min="1850" max="1852" width="14.28515625" style="2" customWidth="1"/>
    <col min="1853" max="1853" width="16.85546875" style="2" customWidth="1"/>
    <col min="1854" max="1854" width="18.28515625" style="2" customWidth="1"/>
    <col min="1855" max="1855" width="8" style="2" customWidth="1"/>
    <col min="1856" max="1856" width="14.7109375" style="2" customWidth="1"/>
    <col min="1857" max="1857" width="15.28515625" style="2" customWidth="1"/>
    <col min="1858" max="1858" width="15.42578125" style="2" customWidth="1"/>
    <col min="1859" max="1859" width="15.85546875" style="2" customWidth="1"/>
    <col min="1860" max="1860" width="17.140625" style="2" customWidth="1"/>
    <col min="1861" max="1861" width="9.140625" style="2" customWidth="1"/>
    <col min="1862" max="1864" width="10.7109375" style="2" customWidth="1"/>
    <col min="1865" max="1865" width="10.42578125" style="2" customWidth="1"/>
    <col min="1866" max="1866" width="11.28515625" style="2" customWidth="1"/>
    <col min="1867" max="1868" width="8.85546875" style="2"/>
    <col min="1869" max="1869" width="8.85546875" style="2" customWidth="1"/>
    <col min="1870" max="1870" width="9.28515625" style="2" customWidth="1"/>
    <col min="1871" max="1871" width="11" style="2" customWidth="1"/>
    <col min="1872" max="1872" width="12.42578125" style="2" customWidth="1"/>
    <col min="1873" max="1873" width="16.85546875" style="2" customWidth="1"/>
    <col min="1874" max="1874" width="18.42578125" style="2" customWidth="1"/>
    <col min="1875" max="1875" width="17.28515625" style="2" customWidth="1"/>
    <col min="1876" max="1876" width="16" style="2" customWidth="1"/>
    <col min="1877" max="1877" width="15.28515625" style="2" customWidth="1"/>
    <col min="1878" max="1878" width="17.28515625" style="2" customWidth="1"/>
    <col min="1879" max="1879" width="18" style="2" customWidth="1"/>
    <col min="1880" max="1880" width="17.5703125" style="2" customWidth="1"/>
    <col min="1881" max="1881" width="14" style="2" customWidth="1"/>
    <col min="1882" max="1882" width="12.140625" style="2" customWidth="1"/>
    <col min="1883" max="2095" width="8.85546875" style="2"/>
    <col min="2096" max="2096" width="25.28515625" style="2" customWidth="1"/>
    <col min="2097" max="2097" width="49.28515625" style="2" bestFit="1" customWidth="1"/>
    <col min="2098" max="2098" width="16.140625" style="2" customWidth="1"/>
    <col min="2099" max="2099" width="9.140625" style="2" customWidth="1"/>
    <col min="2100" max="2100" width="15.28515625" style="2" bestFit="1" customWidth="1"/>
    <col min="2101" max="2101" width="16.28515625" style="2" bestFit="1" customWidth="1"/>
    <col min="2102" max="2102" width="15.28515625" style="2" bestFit="1" customWidth="1"/>
    <col min="2103" max="2103" width="16.28515625" style="2" customWidth="1"/>
    <col min="2104" max="2104" width="16.7109375" style="2" customWidth="1"/>
    <col min="2105" max="2105" width="9.5703125" style="2" customWidth="1"/>
    <col min="2106" max="2108" width="14.28515625" style="2" customWidth="1"/>
    <col min="2109" max="2109" width="16.85546875" style="2" customWidth="1"/>
    <col min="2110" max="2110" width="18.28515625" style="2" customWidth="1"/>
    <col min="2111" max="2111" width="8" style="2" customWidth="1"/>
    <col min="2112" max="2112" width="14.7109375" style="2" customWidth="1"/>
    <col min="2113" max="2113" width="15.28515625" style="2" customWidth="1"/>
    <col min="2114" max="2114" width="15.42578125" style="2" customWidth="1"/>
    <col min="2115" max="2115" width="15.85546875" style="2" customWidth="1"/>
    <col min="2116" max="2116" width="17.140625" style="2" customWidth="1"/>
    <col min="2117" max="2117" width="9.140625" style="2" customWidth="1"/>
    <col min="2118" max="2120" width="10.7109375" style="2" customWidth="1"/>
    <col min="2121" max="2121" width="10.42578125" style="2" customWidth="1"/>
    <col min="2122" max="2122" width="11.28515625" style="2" customWidth="1"/>
    <col min="2123" max="2124" width="8.85546875" style="2"/>
    <col min="2125" max="2125" width="8.85546875" style="2" customWidth="1"/>
    <col min="2126" max="2126" width="9.28515625" style="2" customWidth="1"/>
    <col min="2127" max="2127" width="11" style="2" customWidth="1"/>
    <col min="2128" max="2128" width="12.42578125" style="2" customWidth="1"/>
    <col min="2129" max="2129" width="16.85546875" style="2" customWidth="1"/>
    <col min="2130" max="2130" width="18.42578125" style="2" customWidth="1"/>
    <col min="2131" max="2131" width="17.28515625" style="2" customWidth="1"/>
    <col min="2132" max="2132" width="16" style="2" customWidth="1"/>
    <col min="2133" max="2133" width="15.28515625" style="2" customWidth="1"/>
    <col min="2134" max="2134" width="17.28515625" style="2" customWidth="1"/>
    <col min="2135" max="2135" width="18" style="2" customWidth="1"/>
    <col min="2136" max="2136" width="17.5703125" style="2" customWidth="1"/>
    <col min="2137" max="2137" width="14" style="2" customWidth="1"/>
    <col min="2138" max="2138" width="12.140625" style="2" customWidth="1"/>
    <col min="2139" max="2351" width="8.85546875" style="2"/>
    <col min="2352" max="2352" width="25.28515625" style="2" customWidth="1"/>
    <col min="2353" max="2353" width="49.28515625" style="2" bestFit="1" customWidth="1"/>
    <col min="2354" max="2354" width="16.140625" style="2" customWidth="1"/>
    <col min="2355" max="2355" width="9.140625" style="2" customWidth="1"/>
    <col min="2356" max="2356" width="15.28515625" style="2" bestFit="1" customWidth="1"/>
    <col min="2357" max="2357" width="16.28515625" style="2" bestFit="1" customWidth="1"/>
    <col min="2358" max="2358" width="15.28515625" style="2" bestFit="1" customWidth="1"/>
    <col min="2359" max="2359" width="16.28515625" style="2" customWidth="1"/>
    <col min="2360" max="2360" width="16.7109375" style="2" customWidth="1"/>
    <col min="2361" max="2361" width="9.5703125" style="2" customWidth="1"/>
    <col min="2362" max="2364" width="14.28515625" style="2" customWidth="1"/>
    <col min="2365" max="2365" width="16.85546875" style="2" customWidth="1"/>
    <col min="2366" max="2366" width="18.28515625" style="2" customWidth="1"/>
    <col min="2367" max="2367" width="8" style="2" customWidth="1"/>
    <col min="2368" max="2368" width="14.7109375" style="2" customWidth="1"/>
    <col min="2369" max="2369" width="15.28515625" style="2" customWidth="1"/>
    <col min="2370" max="2370" width="15.42578125" style="2" customWidth="1"/>
    <col min="2371" max="2371" width="15.85546875" style="2" customWidth="1"/>
    <col min="2372" max="2372" width="17.140625" style="2" customWidth="1"/>
    <col min="2373" max="2373" width="9.140625" style="2" customWidth="1"/>
    <col min="2374" max="2376" width="10.7109375" style="2" customWidth="1"/>
    <col min="2377" max="2377" width="10.42578125" style="2" customWidth="1"/>
    <col min="2378" max="2378" width="11.28515625" style="2" customWidth="1"/>
    <col min="2379" max="2380" width="8.85546875" style="2"/>
    <col min="2381" max="2381" width="8.85546875" style="2" customWidth="1"/>
    <col min="2382" max="2382" width="9.28515625" style="2" customWidth="1"/>
    <col min="2383" max="2383" width="11" style="2" customWidth="1"/>
    <col min="2384" max="2384" width="12.42578125" style="2" customWidth="1"/>
    <col min="2385" max="2385" width="16.85546875" style="2" customWidth="1"/>
    <col min="2386" max="2386" width="18.42578125" style="2" customWidth="1"/>
    <col min="2387" max="2387" width="17.28515625" style="2" customWidth="1"/>
    <col min="2388" max="2388" width="16" style="2" customWidth="1"/>
    <col min="2389" max="2389" width="15.28515625" style="2" customWidth="1"/>
    <col min="2390" max="2390" width="17.28515625" style="2" customWidth="1"/>
    <col min="2391" max="2391" width="18" style="2" customWidth="1"/>
    <col min="2392" max="2392" width="17.5703125" style="2" customWidth="1"/>
    <col min="2393" max="2393" width="14" style="2" customWidth="1"/>
    <col min="2394" max="2394" width="12.140625" style="2" customWidth="1"/>
    <col min="2395" max="2607" width="8.85546875" style="2"/>
    <col min="2608" max="2608" width="25.28515625" style="2" customWidth="1"/>
    <col min="2609" max="2609" width="49.28515625" style="2" bestFit="1" customWidth="1"/>
    <col min="2610" max="2610" width="16.140625" style="2" customWidth="1"/>
    <col min="2611" max="2611" width="9.140625" style="2" customWidth="1"/>
    <col min="2612" max="2612" width="15.28515625" style="2" bestFit="1" customWidth="1"/>
    <col min="2613" max="2613" width="16.28515625" style="2" bestFit="1" customWidth="1"/>
    <col min="2614" max="2614" width="15.28515625" style="2" bestFit="1" customWidth="1"/>
    <col min="2615" max="2615" width="16.28515625" style="2" customWidth="1"/>
    <col min="2616" max="2616" width="16.7109375" style="2" customWidth="1"/>
    <col min="2617" max="2617" width="9.5703125" style="2" customWidth="1"/>
    <col min="2618" max="2620" width="14.28515625" style="2" customWidth="1"/>
    <col min="2621" max="2621" width="16.85546875" style="2" customWidth="1"/>
    <col min="2622" max="2622" width="18.28515625" style="2" customWidth="1"/>
    <col min="2623" max="2623" width="8" style="2" customWidth="1"/>
    <col min="2624" max="2624" width="14.7109375" style="2" customWidth="1"/>
    <col min="2625" max="2625" width="15.28515625" style="2" customWidth="1"/>
    <col min="2626" max="2626" width="15.42578125" style="2" customWidth="1"/>
    <col min="2627" max="2627" width="15.85546875" style="2" customWidth="1"/>
    <col min="2628" max="2628" width="17.140625" style="2" customWidth="1"/>
    <col min="2629" max="2629" width="9.140625" style="2" customWidth="1"/>
    <col min="2630" max="2632" width="10.7109375" style="2" customWidth="1"/>
    <col min="2633" max="2633" width="10.42578125" style="2" customWidth="1"/>
    <col min="2634" max="2634" width="11.28515625" style="2" customWidth="1"/>
    <col min="2635" max="2636" width="8.85546875" style="2"/>
    <col min="2637" max="2637" width="8.85546875" style="2" customWidth="1"/>
    <col min="2638" max="2638" width="9.28515625" style="2" customWidth="1"/>
    <col min="2639" max="2639" width="11" style="2" customWidth="1"/>
    <col min="2640" max="2640" width="12.42578125" style="2" customWidth="1"/>
    <col min="2641" max="2641" width="16.85546875" style="2" customWidth="1"/>
    <col min="2642" max="2642" width="18.42578125" style="2" customWidth="1"/>
    <col min="2643" max="2643" width="17.28515625" style="2" customWidth="1"/>
    <col min="2644" max="2644" width="16" style="2" customWidth="1"/>
    <col min="2645" max="2645" width="15.28515625" style="2" customWidth="1"/>
    <col min="2646" max="2646" width="17.28515625" style="2" customWidth="1"/>
    <col min="2647" max="2647" width="18" style="2" customWidth="1"/>
    <col min="2648" max="2648" width="17.5703125" style="2" customWidth="1"/>
    <col min="2649" max="2649" width="14" style="2" customWidth="1"/>
    <col min="2650" max="2650" width="12.140625" style="2" customWidth="1"/>
    <col min="2651" max="2863" width="8.85546875" style="2"/>
    <col min="2864" max="2864" width="25.28515625" style="2" customWidth="1"/>
    <col min="2865" max="2865" width="49.28515625" style="2" bestFit="1" customWidth="1"/>
    <col min="2866" max="2866" width="16.140625" style="2" customWidth="1"/>
    <col min="2867" max="2867" width="9.140625" style="2" customWidth="1"/>
    <col min="2868" max="2868" width="15.28515625" style="2" bestFit="1" customWidth="1"/>
    <col min="2869" max="2869" width="16.28515625" style="2" bestFit="1" customWidth="1"/>
    <col min="2870" max="2870" width="15.28515625" style="2" bestFit="1" customWidth="1"/>
    <col min="2871" max="2871" width="16.28515625" style="2" customWidth="1"/>
    <col min="2872" max="2872" width="16.7109375" style="2" customWidth="1"/>
    <col min="2873" max="2873" width="9.5703125" style="2" customWidth="1"/>
    <col min="2874" max="2876" width="14.28515625" style="2" customWidth="1"/>
    <col min="2877" max="2877" width="16.85546875" style="2" customWidth="1"/>
    <col min="2878" max="2878" width="18.28515625" style="2" customWidth="1"/>
    <col min="2879" max="2879" width="8" style="2" customWidth="1"/>
    <col min="2880" max="2880" width="14.7109375" style="2" customWidth="1"/>
    <col min="2881" max="2881" width="15.28515625" style="2" customWidth="1"/>
    <col min="2882" max="2882" width="15.42578125" style="2" customWidth="1"/>
    <col min="2883" max="2883" width="15.85546875" style="2" customWidth="1"/>
    <col min="2884" max="2884" width="17.140625" style="2" customWidth="1"/>
    <col min="2885" max="2885" width="9.140625" style="2" customWidth="1"/>
    <col min="2886" max="2888" width="10.7109375" style="2" customWidth="1"/>
    <col min="2889" max="2889" width="10.42578125" style="2" customWidth="1"/>
    <col min="2890" max="2890" width="11.28515625" style="2" customWidth="1"/>
    <col min="2891" max="2892" width="8.85546875" style="2"/>
    <col min="2893" max="2893" width="8.85546875" style="2" customWidth="1"/>
    <col min="2894" max="2894" width="9.28515625" style="2" customWidth="1"/>
    <col min="2895" max="2895" width="11" style="2" customWidth="1"/>
    <col min="2896" max="2896" width="12.42578125" style="2" customWidth="1"/>
    <col min="2897" max="2897" width="16.85546875" style="2" customWidth="1"/>
    <col min="2898" max="2898" width="18.42578125" style="2" customWidth="1"/>
    <col min="2899" max="2899" width="17.28515625" style="2" customWidth="1"/>
    <col min="2900" max="2900" width="16" style="2" customWidth="1"/>
    <col min="2901" max="2901" width="15.28515625" style="2" customWidth="1"/>
    <col min="2902" max="2902" width="17.28515625" style="2" customWidth="1"/>
    <col min="2903" max="2903" width="18" style="2" customWidth="1"/>
    <col min="2904" max="2904" width="17.5703125" style="2" customWidth="1"/>
    <col min="2905" max="2905" width="14" style="2" customWidth="1"/>
    <col min="2906" max="2906" width="12.140625" style="2" customWidth="1"/>
    <col min="2907" max="3119" width="8.85546875" style="2"/>
    <col min="3120" max="3120" width="25.28515625" style="2" customWidth="1"/>
    <col min="3121" max="3121" width="49.28515625" style="2" bestFit="1" customWidth="1"/>
    <col min="3122" max="3122" width="16.140625" style="2" customWidth="1"/>
    <col min="3123" max="3123" width="9.140625" style="2" customWidth="1"/>
    <col min="3124" max="3124" width="15.28515625" style="2" bestFit="1" customWidth="1"/>
    <col min="3125" max="3125" width="16.28515625" style="2" bestFit="1" customWidth="1"/>
    <col min="3126" max="3126" width="15.28515625" style="2" bestFit="1" customWidth="1"/>
    <col min="3127" max="3127" width="16.28515625" style="2" customWidth="1"/>
    <col min="3128" max="3128" width="16.7109375" style="2" customWidth="1"/>
    <col min="3129" max="3129" width="9.5703125" style="2" customWidth="1"/>
    <col min="3130" max="3132" width="14.28515625" style="2" customWidth="1"/>
    <col min="3133" max="3133" width="16.85546875" style="2" customWidth="1"/>
    <col min="3134" max="3134" width="18.28515625" style="2" customWidth="1"/>
    <col min="3135" max="3135" width="8" style="2" customWidth="1"/>
    <col min="3136" max="3136" width="14.7109375" style="2" customWidth="1"/>
    <col min="3137" max="3137" width="15.28515625" style="2" customWidth="1"/>
    <col min="3138" max="3138" width="15.42578125" style="2" customWidth="1"/>
    <col min="3139" max="3139" width="15.85546875" style="2" customWidth="1"/>
    <col min="3140" max="3140" width="17.140625" style="2" customWidth="1"/>
    <col min="3141" max="3141" width="9.140625" style="2" customWidth="1"/>
    <col min="3142" max="3144" width="10.7109375" style="2" customWidth="1"/>
    <col min="3145" max="3145" width="10.42578125" style="2" customWidth="1"/>
    <col min="3146" max="3146" width="11.28515625" style="2" customWidth="1"/>
    <col min="3147" max="3148" width="8.85546875" style="2"/>
    <col min="3149" max="3149" width="8.85546875" style="2" customWidth="1"/>
    <col min="3150" max="3150" width="9.28515625" style="2" customWidth="1"/>
    <col min="3151" max="3151" width="11" style="2" customWidth="1"/>
    <col min="3152" max="3152" width="12.42578125" style="2" customWidth="1"/>
    <col min="3153" max="3153" width="16.85546875" style="2" customWidth="1"/>
    <col min="3154" max="3154" width="18.42578125" style="2" customWidth="1"/>
    <col min="3155" max="3155" width="17.28515625" style="2" customWidth="1"/>
    <col min="3156" max="3156" width="16" style="2" customWidth="1"/>
    <col min="3157" max="3157" width="15.28515625" style="2" customWidth="1"/>
    <col min="3158" max="3158" width="17.28515625" style="2" customWidth="1"/>
    <col min="3159" max="3159" width="18" style="2" customWidth="1"/>
    <col min="3160" max="3160" width="17.5703125" style="2" customWidth="1"/>
    <col min="3161" max="3161" width="14" style="2" customWidth="1"/>
    <col min="3162" max="3162" width="12.140625" style="2" customWidth="1"/>
    <col min="3163" max="3375" width="8.85546875" style="2"/>
    <col min="3376" max="3376" width="25.28515625" style="2" customWidth="1"/>
    <col min="3377" max="3377" width="49.28515625" style="2" bestFit="1" customWidth="1"/>
    <col min="3378" max="3378" width="16.140625" style="2" customWidth="1"/>
    <col min="3379" max="3379" width="9.140625" style="2" customWidth="1"/>
    <col min="3380" max="3380" width="15.28515625" style="2" bestFit="1" customWidth="1"/>
    <col min="3381" max="3381" width="16.28515625" style="2" bestFit="1" customWidth="1"/>
    <col min="3382" max="3382" width="15.28515625" style="2" bestFit="1" customWidth="1"/>
    <col min="3383" max="3383" width="16.28515625" style="2" customWidth="1"/>
    <col min="3384" max="3384" width="16.7109375" style="2" customWidth="1"/>
    <col min="3385" max="3385" width="9.5703125" style="2" customWidth="1"/>
    <col min="3386" max="3388" width="14.28515625" style="2" customWidth="1"/>
    <col min="3389" max="3389" width="16.85546875" style="2" customWidth="1"/>
    <col min="3390" max="3390" width="18.28515625" style="2" customWidth="1"/>
    <col min="3391" max="3391" width="8" style="2" customWidth="1"/>
    <col min="3392" max="3392" width="14.7109375" style="2" customWidth="1"/>
    <col min="3393" max="3393" width="15.28515625" style="2" customWidth="1"/>
    <col min="3394" max="3394" width="15.42578125" style="2" customWidth="1"/>
    <col min="3395" max="3395" width="15.85546875" style="2" customWidth="1"/>
    <col min="3396" max="3396" width="17.140625" style="2" customWidth="1"/>
    <col min="3397" max="3397" width="9.140625" style="2" customWidth="1"/>
    <col min="3398" max="3400" width="10.7109375" style="2" customWidth="1"/>
    <col min="3401" max="3401" width="10.42578125" style="2" customWidth="1"/>
    <col min="3402" max="3402" width="11.28515625" style="2" customWidth="1"/>
    <col min="3403" max="3404" width="8.85546875" style="2"/>
    <col min="3405" max="3405" width="8.85546875" style="2" customWidth="1"/>
    <col min="3406" max="3406" width="9.28515625" style="2" customWidth="1"/>
    <col min="3407" max="3407" width="11" style="2" customWidth="1"/>
    <col min="3408" max="3408" width="12.42578125" style="2" customWidth="1"/>
    <col min="3409" max="3409" width="16.85546875" style="2" customWidth="1"/>
    <col min="3410" max="3410" width="18.42578125" style="2" customWidth="1"/>
    <col min="3411" max="3411" width="17.28515625" style="2" customWidth="1"/>
    <col min="3412" max="3412" width="16" style="2" customWidth="1"/>
    <col min="3413" max="3413" width="15.28515625" style="2" customWidth="1"/>
    <col min="3414" max="3414" width="17.28515625" style="2" customWidth="1"/>
    <col min="3415" max="3415" width="18" style="2" customWidth="1"/>
    <col min="3416" max="3416" width="17.5703125" style="2" customWidth="1"/>
    <col min="3417" max="3417" width="14" style="2" customWidth="1"/>
    <col min="3418" max="3418" width="12.140625" style="2" customWidth="1"/>
    <col min="3419" max="3631" width="8.85546875" style="2"/>
    <col min="3632" max="3632" width="25.28515625" style="2" customWidth="1"/>
    <col min="3633" max="3633" width="49.28515625" style="2" bestFit="1" customWidth="1"/>
    <col min="3634" max="3634" width="16.140625" style="2" customWidth="1"/>
    <col min="3635" max="3635" width="9.140625" style="2" customWidth="1"/>
    <col min="3636" max="3636" width="15.28515625" style="2" bestFit="1" customWidth="1"/>
    <col min="3637" max="3637" width="16.28515625" style="2" bestFit="1" customWidth="1"/>
    <col min="3638" max="3638" width="15.28515625" style="2" bestFit="1" customWidth="1"/>
    <col min="3639" max="3639" width="16.28515625" style="2" customWidth="1"/>
    <col min="3640" max="3640" width="16.7109375" style="2" customWidth="1"/>
    <col min="3641" max="3641" width="9.5703125" style="2" customWidth="1"/>
    <col min="3642" max="3644" width="14.28515625" style="2" customWidth="1"/>
    <col min="3645" max="3645" width="16.85546875" style="2" customWidth="1"/>
    <col min="3646" max="3646" width="18.28515625" style="2" customWidth="1"/>
    <col min="3647" max="3647" width="8" style="2" customWidth="1"/>
    <col min="3648" max="3648" width="14.7109375" style="2" customWidth="1"/>
    <col min="3649" max="3649" width="15.28515625" style="2" customWidth="1"/>
    <col min="3650" max="3650" width="15.42578125" style="2" customWidth="1"/>
    <col min="3651" max="3651" width="15.85546875" style="2" customWidth="1"/>
    <col min="3652" max="3652" width="17.140625" style="2" customWidth="1"/>
    <col min="3653" max="3653" width="9.140625" style="2" customWidth="1"/>
    <col min="3654" max="3656" width="10.7109375" style="2" customWidth="1"/>
    <col min="3657" max="3657" width="10.42578125" style="2" customWidth="1"/>
    <col min="3658" max="3658" width="11.28515625" style="2" customWidth="1"/>
    <col min="3659" max="3660" width="8.85546875" style="2"/>
    <col min="3661" max="3661" width="8.85546875" style="2" customWidth="1"/>
    <col min="3662" max="3662" width="9.28515625" style="2" customWidth="1"/>
    <col min="3663" max="3663" width="11" style="2" customWidth="1"/>
    <col min="3664" max="3664" width="12.42578125" style="2" customWidth="1"/>
    <col min="3665" max="3665" width="16.85546875" style="2" customWidth="1"/>
    <col min="3666" max="3666" width="18.42578125" style="2" customWidth="1"/>
    <col min="3667" max="3667" width="17.28515625" style="2" customWidth="1"/>
    <col min="3668" max="3668" width="16" style="2" customWidth="1"/>
    <col min="3669" max="3669" width="15.28515625" style="2" customWidth="1"/>
    <col min="3670" max="3670" width="17.28515625" style="2" customWidth="1"/>
    <col min="3671" max="3671" width="18" style="2" customWidth="1"/>
    <col min="3672" max="3672" width="17.5703125" style="2" customWidth="1"/>
    <col min="3673" max="3673" width="14" style="2" customWidth="1"/>
    <col min="3674" max="3674" width="12.140625" style="2" customWidth="1"/>
    <col min="3675" max="3887" width="8.85546875" style="2"/>
    <col min="3888" max="3888" width="25.28515625" style="2" customWidth="1"/>
    <col min="3889" max="3889" width="49.28515625" style="2" bestFit="1" customWidth="1"/>
    <col min="3890" max="3890" width="16.140625" style="2" customWidth="1"/>
    <col min="3891" max="3891" width="9.140625" style="2" customWidth="1"/>
    <col min="3892" max="3892" width="15.28515625" style="2" bestFit="1" customWidth="1"/>
    <col min="3893" max="3893" width="16.28515625" style="2" bestFit="1" customWidth="1"/>
    <col min="3894" max="3894" width="15.28515625" style="2" bestFit="1" customWidth="1"/>
    <col min="3895" max="3895" width="16.28515625" style="2" customWidth="1"/>
    <col min="3896" max="3896" width="16.7109375" style="2" customWidth="1"/>
    <col min="3897" max="3897" width="9.5703125" style="2" customWidth="1"/>
    <col min="3898" max="3900" width="14.28515625" style="2" customWidth="1"/>
    <col min="3901" max="3901" width="16.85546875" style="2" customWidth="1"/>
    <col min="3902" max="3902" width="18.28515625" style="2" customWidth="1"/>
    <col min="3903" max="3903" width="8" style="2" customWidth="1"/>
    <col min="3904" max="3904" width="14.7109375" style="2" customWidth="1"/>
    <col min="3905" max="3905" width="15.28515625" style="2" customWidth="1"/>
    <col min="3906" max="3906" width="15.42578125" style="2" customWidth="1"/>
    <col min="3907" max="3907" width="15.85546875" style="2" customWidth="1"/>
    <col min="3908" max="3908" width="17.140625" style="2" customWidth="1"/>
    <col min="3909" max="3909" width="9.140625" style="2" customWidth="1"/>
    <col min="3910" max="3912" width="10.7109375" style="2" customWidth="1"/>
    <col min="3913" max="3913" width="10.42578125" style="2" customWidth="1"/>
    <col min="3914" max="3914" width="11.28515625" style="2" customWidth="1"/>
    <col min="3915" max="3916" width="8.85546875" style="2"/>
    <col min="3917" max="3917" width="8.85546875" style="2" customWidth="1"/>
    <col min="3918" max="3918" width="9.28515625" style="2" customWidth="1"/>
    <col min="3919" max="3919" width="11" style="2" customWidth="1"/>
    <col min="3920" max="3920" width="12.42578125" style="2" customWidth="1"/>
    <col min="3921" max="3921" width="16.85546875" style="2" customWidth="1"/>
    <col min="3922" max="3922" width="18.42578125" style="2" customWidth="1"/>
    <col min="3923" max="3923" width="17.28515625" style="2" customWidth="1"/>
    <col min="3924" max="3924" width="16" style="2" customWidth="1"/>
    <col min="3925" max="3925" width="15.28515625" style="2" customWidth="1"/>
    <col min="3926" max="3926" width="17.28515625" style="2" customWidth="1"/>
    <col min="3927" max="3927" width="18" style="2" customWidth="1"/>
    <col min="3928" max="3928" width="17.5703125" style="2" customWidth="1"/>
    <col min="3929" max="3929" width="14" style="2" customWidth="1"/>
    <col min="3930" max="3930" width="12.140625" style="2" customWidth="1"/>
    <col min="3931" max="4143" width="8.85546875" style="2"/>
    <col min="4144" max="4144" width="25.28515625" style="2" customWidth="1"/>
    <col min="4145" max="4145" width="49.28515625" style="2" bestFit="1" customWidth="1"/>
    <col min="4146" max="4146" width="16.140625" style="2" customWidth="1"/>
    <col min="4147" max="4147" width="9.140625" style="2" customWidth="1"/>
    <col min="4148" max="4148" width="15.28515625" style="2" bestFit="1" customWidth="1"/>
    <col min="4149" max="4149" width="16.28515625" style="2" bestFit="1" customWidth="1"/>
    <col min="4150" max="4150" width="15.28515625" style="2" bestFit="1" customWidth="1"/>
    <col min="4151" max="4151" width="16.28515625" style="2" customWidth="1"/>
    <col min="4152" max="4152" width="16.7109375" style="2" customWidth="1"/>
    <col min="4153" max="4153" width="9.5703125" style="2" customWidth="1"/>
    <col min="4154" max="4156" width="14.28515625" style="2" customWidth="1"/>
    <col min="4157" max="4157" width="16.85546875" style="2" customWidth="1"/>
    <col min="4158" max="4158" width="18.28515625" style="2" customWidth="1"/>
    <col min="4159" max="4159" width="8" style="2" customWidth="1"/>
    <col min="4160" max="4160" width="14.7109375" style="2" customWidth="1"/>
    <col min="4161" max="4161" width="15.28515625" style="2" customWidth="1"/>
    <col min="4162" max="4162" width="15.42578125" style="2" customWidth="1"/>
    <col min="4163" max="4163" width="15.85546875" style="2" customWidth="1"/>
    <col min="4164" max="4164" width="17.140625" style="2" customWidth="1"/>
    <col min="4165" max="4165" width="9.140625" style="2" customWidth="1"/>
    <col min="4166" max="4168" width="10.7109375" style="2" customWidth="1"/>
    <col min="4169" max="4169" width="10.42578125" style="2" customWidth="1"/>
    <col min="4170" max="4170" width="11.28515625" style="2" customWidth="1"/>
    <col min="4171" max="4172" width="8.85546875" style="2"/>
    <col min="4173" max="4173" width="8.85546875" style="2" customWidth="1"/>
    <col min="4174" max="4174" width="9.28515625" style="2" customWidth="1"/>
    <col min="4175" max="4175" width="11" style="2" customWidth="1"/>
    <col min="4176" max="4176" width="12.42578125" style="2" customWidth="1"/>
    <col min="4177" max="4177" width="16.85546875" style="2" customWidth="1"/>
    <col min="4178" max="4178" width="18.42578125" style="2" customWidth="1"/>
    <col min="4179" max="4179" width="17.28515625" style="2" customWidth="1"/>
    <col min="4180" max="4180" width="16" style="2" customWidth="1"/>
    <col min="4181" max="4181" width="15.28515625" style="2" customWidth="1"/>
    <col min="4182" max="4182" width="17.28515625" style="2" customWidth="1"/>
    <col min="4183" max="4183" width="18" style="2" customWidth="1"/>
    <col min="4184" max="4184" width="17.5703125" style="2" customWidth="1"/>
    <col min="4185" max="4185" width="14" style="2" customWidth="1"/>
    <col min="4186" max="4186" width="12.140625" style="2" customWidth="1"/>
    <col min="4187" max="4399" width="8.85546875" style="2"/>
    <col min="4400" max="4400" width="25.28515625" style="2" customWidth="1"/>
    <col min="4401" max="4401" width="49.28515625" style="2" bestFit="1" customWidth="1"/>
    <col min="4402" max="4402" width="16.140625" style="2" customWidth="1"/>
    <col min="4403" max="4403" width="9.140625" style="2" customWidth="1"/>
    <col min="4404" max="4404" width="15.28515625" style="2" bestFit="1" customWidth="1"/>
    <col min="4405" max="4405" width="16.28515625" style="2" bestFit="1" customWidth="1"/>
    <col min="4406" max="4406" width="15.28515625" style="2" bestFit="1" customWidth="1"/>
    <col min="4407" max="4407" width="16.28515625" style="2" customWidth="1"/>
    <col min="4408" max="4408" width="16.7109375" style="2" customWidth="1"/>
    <col min="4409" max="4409" width="9.5703125" style="2" customWidth="1"/>
    <col min="4410" max="4412" width="14.28515625" style="2" customWidth="1"/>
    <col min="4413" max="4413" width="16.85546875" style="2" customWidth="1"/>
    <col min="4414" max="4414" width="18.28515625" style="2" customWidth="1"/>
    <col min="4415" max="4415" width="8" style="2" customWidth="1"/>
    <col min="4416" max="4416" width="14.7109375" style="2" customWidth="1"/>
    <col min="4417" max="4417" width="15.28515625" style="2" customWidth="1"/>
    <col min="4418" max="4418" width="15.42578125" style="2" customWidth="1"/>
    <col min="4419" max="4419" width="15.85546875" style="2" customWidth="1"/>
    <col min="4420" max="4420" width="17.140625" style="2" customWidth="1"/>
    <col min="4421" max="4421" width="9.140625" style="2" customWidth="1"/>
    <col min="4422" max="4424" width="10.7109375" style="2" customWidth="1"/>
    <col min="4425" max="4425" width="10.42578125" style="2" customWidth="1"/>
    <col min="4426" max="4426" width="11.28515625" style="2" customWidth="1"/>
    <col min="4427" max="4428" width="8.85546875" style="2"/>
    <col min="4429" max="4429" width="8.85546875" style="2" customWidth="1"/>
    <col min="4430" max="4430" width="9.28515625" style="2" customWidth="1"/>
    <col min="4431" max="4431" width="11" style="2" customWidth="1"/>
    <col min="4432" max="4432" width="12.42578125" style="2" customWidth="1"/>
    <col min="4433" max="4433" width="16.85546875" style="2" customWidth="1"/>
    <col min="4434" max="4434" width="18.42578125" style="2" customWidth="1"/>
    <col min="4435" max="4435" width="17.28515625" style="2" customWidth="1"/>
    <col min="4436" max="4436" width="16" style="2" customWidth="1"/>
    <col min="4437" max="4437" width="15.28515625" style="2" customWidth="1"/>
    <col min="4438" max="4438" width="17.28515625" style="2" customWidth="1"/>
    <col min="4439" max="4439" width="18" style="2" customWidth="1"/>
    <col min="4440" max="4440" width="17.5703125" style="2" customWidth="1"/>
    <col min="4441" max="4441" width="14" style="2" customWidth="1"/>
    <col min="4442" max="4442" width="12.140625" style="2" customWidth="1"/>
    <col min="4443" max="4655" width="8.85546875" style="2"/>
    <col min="4656" max="4656" width="25.28515625" style="2" customWidth="1"/>
    <col min="4657" max="4657" width="49.28515625" style="2" bestFit="1" customWidth="1"/>
    <col min="4658" max="4658" width="16.140625" style="2" customWidth="1"/>
    <col min="4659" max="4659" width="9.140625" style="2" customWidth="1"/>
    <col min="4660" max="4660" width="15.28515625" style="2" bestFit="1" customWidth="1"/>
    <col min="4661" max="4661" width="16.28515625" style="2" bestFit="1" customWidth="1"/>
    <col min="4662" max="4662" width="15.28515625" style="2" bestFit="1" customWidth="1"/>
    <col min="4663" max="4663" width="16.28515625" style="2" customWidth="1"/>
    <col min="4664" max="4664" width="16.7109375" style="2" customWidth="1"/>
    <col min="4665" max="4665" width="9.5703125" style="2" customWidth="1"/>
    <col min="4666" max="4668" width="14.28515625" style="2" customWidth="1"/>
    <col min="4669" max="4669" width="16.85546875" style="2" customWidth="1"/>
    <col min="4670" max="4670" width="18.28515625" style="2" customWidth="1"/>
    <col min="4671" max="4671" width="8" style="2" customWidth="1"/>
    <col min="4672" max="4672" width="14.7109375" style="2" customWidth="1"/>
    <col min="4673" max="4673" width="15.28515625" style="2" customWidth="1"/>
    <col min="4674" max="4674" width="15.42578125" style="2" customWidth="1"/>
    <col min="4675" max="4675" width="15.85546875" style="2" customWidth="1"/>
    <col min="4676" max="4676" width="17.140625" style="2" customWidth="1"/>
    <col min="4677" max="4677" width="9.140625" style="2" customWidth="1"/>
    <col min="4678" max="4680" width="10.7109375" style="2" customWidth="1"/>
    <col min="4681" max="4681" width="10.42578125" style="2" customWidth="1"/>
    <col min="4682" max="4682" width="11.28515625" style="2" customWidth="1"/>
    <col min="4683" max="4684" width="8.85546875" style="2"/>
    <col min="4685" max="4685" width="8.85546875" style="2" customWidth="1"/>
    <col min="4686" max="4686" width="9.28515625" style="2" customWidth="1"/>
    <col min="4687" max="4687" width="11" style="2" customWidth="1"/>
    <col min="4688" max="4688" width="12.42578125" style="2" customWidth="1"/>
    <col min="4689" max="4689" width="16.85546875" style="2" customWidth="1"/>
    <col min="4690" max="4690" width="18.42578125" style="2" customWidth="1"/>
    <col min="4691" max="4691" width="17.28515625" style="2" customWidth="1"/>
    <col min="4692" max="4692" width="16" style="2" customWidth="1"/>
    <col min="4693" max="4693" width="15.28515625" style="2" customWidth="1"/>
    <col min="4694" max="4694" width="17.28515625" style="2" customWidth="1"/>
    <col min="4695" max="4695" width="18" style="2" customWidth="1"/>
    <col min="4696" max="4696" width="17.5703125" style="2" customWidth="1"/>
    <col min="4697" max="4697" width="14" style="2" customWidth="1"/>
    <col min="4698" max="4698" width="12.140625" style="2" customWidth="1"/>
    <col min="4699" max="4911" width="8.85546875" style="2"/>
    <col min="4912" max="4912" width="25.28515625" style="2" customWidth="1"/>
    <col min="4913" max="4913" width="49.28515625" style="2" bestFit="1" customWidth="1"/>
    <col min="4914" max="4914" width="16.140625" style="2" customWidth="1"/>
    <col min="4915" max="4915" width="9.140625" style="2" customWidth="1"/>
    <col min="4916" max="4916" width="15.28515625" style="2" bestFit="1" customWidth="1"/>
    <col min="4917" max="4917" width="16.28515625" style="2" bestFit="1" customWidth="1"/>
    <col min="4918" max="4918" width="15.28515625" style="2" bestFit="1" customWidth="1"/>
    <col min="4919" max="4919" width="16.28515625" style="2" customWidth="1"/>
    <col min="4920" max="4920" width="16.7109375" style="2" customWidth="1"/>
    <col min="4921" max="4921" width="9.5703125" style="2" customWidth="1"/>
    <col min="4922" max="4924" width="14.28515625" style="2" customWidth="1"/>
    <col min="4925" max="4925" width="16.85546875" style="2" customWidth="1"/>
    <col min="4926" max="4926" width="18.28515625" style="2" customWidth="1"/>
    <col min="4927" max="4927" width="8" style="2" customWidth="1"/>
    <col min="4928" max="4928" width="14.7109375" style="2" customWidth="1"/>
    <col min="4929" max="4929" width="15.28515625" style="2" customWidth="1"/>
    <col min="4930" max="4930" width="15.42578125" style="2" customWidth="1"/>
    <col min="4931" max="4931" width="15.85546875" style="2" customWidth="1"/>
    <col min="4932" max="4932" width="17.140625" style="2" customWidth="1"/>
    <col min="4933" max="4933" width="9.140625" style="2" customWidth="1"/>
    <col min="4934" max="4936" width="10.7109375" style="2" customWidth="1"/>
    <col min="4937" max="4937" width="10.42578125" style="2" customWidth="1"/>
    <col min="4938" max="4938" width="11.28515625" style="2" customWidth="1"/>
    <col min="4939" max="4940" width="8.85546875" style="2"/>
    <col min="4941" max="4941" width="8.85546875" style="2" customWidth="1"/>
    <col min="4942" max="4942" width="9.28515625" style="2" customWidth="1"/>
    <col min="4943" max="4943" width="11" style="2" customWidth="1"/>
    <col min="4944" max="4944" width="12.42578125" style="2" customWidth="1"/>
    <col min="4945" max="4945" width="16.85546875" style="2" customWidth="1"/>
    <col min="4946" max="4946" width="18.42578125" style="2" customWidth="1"/>
    <col min="4947" max="4947" width="17.28515625" style="2" customWidth="1"/>
    <col min="4948" max="4948" width="16" style="2" customWidth="1"/>
    <col min="4949" max="4949" width="15.28515625" style="2" customWidth="1"/>
    <col min="4950" max="4950" width="17.28515625" style="2" customWidth="1"/>
    <col min="4951" max="4951" width="18" style="2" customWidth="1"/>
    <col min="4952" max="4952" width="17.5703125" style="2" customWidth="1"/>
    <col min="4953" max="4953" width="14" style="2" customWidth="1"/>
    <col min="4954" max="4954" width="12.140625" style="2" customWidth="1"/>
    <col min="4955" max="5167" width="8.85546875" style="2"/>
    <col min="5168" max="5168" width="25.28515625" style="2" customWidth="1"/>
    <col min="5169" max="5169" width="49.28515625" style="2" bestFit="1" customWidth="1"/>
    <col min="5170" max="5170" width="16.140625" style="2" customWidth="1"/>
    <col min="5171" max="5171" width="9.140625" style="2" customWidth="1"/>
    <col min="5172" max="5172" width="15.28515625" style="2" bestFit="1" customWidth="1"/>
    <col min="5173" max="5173" width="16.28515625" style="2" bestFit="1" customWidth="1"/>
    <col min="5174" max="5174" width="15.28515625" style="2" bestFit="1" customWidth="1"/>
    <col min="5175" max="5175" width="16.28515625" style="2" customWidth="1"/>
    <col min="5176" max="5176" width="16.7109375" style="2" customWidth="1"/>
    <col min="5177" max="5177" width="9.5703125" style="2" customWidth="1"/>
    <col min="5178" max="5180" width="14.28515625" style="2" customWidth="1"/>
    <col min="5181" max="5181" width="16.85546875" style="2" customWidth="1"/>
    <col min="5182" max="5182" width="18.28515625" style="2" customWidth="1"/>
    <col min="5183" max="5183" width="8" style="2" customWidth="1"/>
    <col min="5184" max="5184" width="14.7109375" style="2" customWidth="1"/>
    <col min="5185" max="5185" width="15.28515625" style="2" customWidth="1"/>
    <col min="5186" max="5186" width="15.42578125" style="2" customWidth="1"/>
    <col min="5187" max="5187" width="15.85546875" style="2" customWidth="1"/>
    <col min="5188" max="5188" width="17.140625" style="2" customWidth="1"/>
    <col min="5189" max="5189" width="9.140625" style="2" customWidth="1"/>
    <col min="5190" max="5192" width="10.7109375" style="2" customWidth="1"/>
    <col min="5193" max="5193" width="10.42578125" style="2" customWidth="1"/>
    <col min="5194" max="5194" width="11.28515625" style="2" customWidth="1"/>
    <col min="5195" max="5196" width="8.85546875" style="2"/>
    <col min="5197" max="5197" width="8.85546875" style="2" customWidth="1"/>
    <col min="5198" max="5198" width="9.28515625" style="2" customWidth="1"/>
    <col min="5199" max="5199" width="11" style="2" customWidth="1"/>
    <col min="5200" max="5200" width="12.42578125" style="2" customWidth="1"/>
    <col min="5201" max="5201" width="16.85546875" style="2" customWidth="1"/>
    <col min="5202" max="5202" width="18.42578125" style="2" customWidth="1"/>
    <col min="5203" max="5203" width="17.28515625" style="2" customWidth="1"/>
    <col min="5204" max="5204" width="16" style="2" customWidth="1"/>
    <col min="5205" max="5205" width="15.28515625" style="2" customWidth="1"/>
    <col min="5206" max="5206" width="17.28515625" style="2" customWidth="1"/>
    <col min="5207" max="5207" width="18" style="2" customWidth="1"/>
    <col min="5208" max="5208" width="17.5703125" style="2" customWidth="1"/>
    <col min="5209" max="5209" width="14" style="2" customWidth="1"/>
    <col min="5210" max="5210" width="12.140625" style="2" customWidth="1"/>
    <col min="5211" max="5423" width="8.85546875" style="2"/>
    <col min="5424" max="5424" width="25.28515625" style="2" customWidth="1"/>
    <col min="5425" max="5425" width="49.28515625" style="2" bestFit="1" customWidth="1"/>
    <col min="5426" max="5426" width="16.140625" style="2" customWidth="1"/>
    <col min="5427" max="5427" width="9.140625" style="2" customWidth="1"/>
    <col min="5428" max="5428" width="15.28515625" style="2" bestFit="1" customWidth="1"/>
    <col min="5429" max="5429" width="16.28515625" style="2" bestFit="1" customWidth="1"/>
    <col min="5430" max="5430" width="15.28515625" style="2" bestFit="1" customWidth="1"/>
    <col min="5431" max="5431" width="16.28515625" style="2" customWidth="1"/>
    <col min="5432" max="5432" width="16.7109375" style="2" customWidth="1"/>
    <col min="5433" max="5433" width="9.5703125" style="2" customWidth="1"/>
    <col min="5434" max="5436" width="14.28515625" style="2" customWidth="1"/>
    <col min="5437" max="5437" width="16.85546875" style="2" customWidth="1"/>
    <col min="5438" max="5438" width="18.28515625" style="2" customWidth="1"/>
    <col min="5439" max="5439" width="8" style="2" customWidth="1"/>
    <col min="5440" max="5440" width="14.7109375" style="2" customWidth="1"/>
    <col min="5441" max="5441" width="15.28515625" style="2" customWidth="1"/>
    <col min="5442" max="5442" width="15.42578125" style="2" customWidth="1"/>
    <col min="5443" max="5443" width="15.85546875" style="2" customWidth="1"/>
    <col min="5444" max="5444" width="17.140625" style="2" customWidth="1"/>
    <col min="5445" max="5445" width="9.140625" style="2" customWidth="1"/>
    <col min="5446" max="5448" width="10.7109375" style="2" customWidth="1"/>
    <col min="5449" max="5449" width="10.42578125" style="2" customWidth="1"/>
    <col min="5450" max="5450" width="11.28515625" style="2" customWidth="1"/>
    <col min="5451" max="5452" width="8.85546875" style="2"/>
    <col min="5453" max="5453" width="8.85546875" style="2" customWidth="1"/>
    <col min="5454" max="5454" width="9.28515625" style="2" customWidth="1"/>
    <col min="5455" max="5455" width="11" style="2" customWidth="1"/>
    <col min="5456" max="5456" width="12.42578125" style="2" customWidth="1"/>
    <col min="5457" max="5457" width="16.85546875" style="2" customWidth="1"/>
    <col min="5458" max="5458" width="18.42578125" style="2" customWidth="1"/>
    <col min="5459" max="5459" width="17.28515625" style="2" customWidth="1"/>
    <col min="5460" max="5460" width="16" style="2" customWidth="1"/>
    <col min="5461" max="5461" width="15.28515625" style="2" customWidth="1"/>
    <col min="5462" max="5462" width="17.28515625" style="2" customWidth="1"/>
    <col min="5463" max="5463" width="18" style="2" customWidth="1"/>
    <col min="5464" max="5464" width="17.5703125" style="2" customWidth="1"/>
    <col min="5465" max="5465" width="14" style="2" customWidth="1"/>
    <col min="5466" max="5466" width="12.140625" style="2" customWidth="1"/>
    <col min="5467" max="5679" width="8.85546875" style="2"/>
    <col min="5680" max="5680" width="25.28515625" style="2" customWidth="1"/>
    <col min="5681" max="5681" width="49.28515625" style="2" bestFit="1" customWidth="1"/>
    <col min="5682" max="5682" width="16.140625" style="2" customWidth="1"/>
    <col min="5683" max="5683" width="9.140625" style="2" customWidth="1"/>
    <col min="5684" max="5684" width="15.28515625" style="2" bestFit="1" customWidth="1"/>
    <col min="5685" max="5685" width="16.28515625" style="2" bestFit="1" customWidth="1"/>
    <col min="5686" max="5686" width="15.28515625" style="2" bestFit="1" customWidth="1"/>
    <col min="5687" max="5687" width="16.28515625" style="2" customWidth="1"/>
    <col min="5688" max="5688" width="16.7109375" style="2" customWidth="1"/>
    <col min="5689" max="5689" width="9.5703125" style="2" customWidth="1"/>
    <col min="5690" max="5692" width="14.28515625" style="2" customWidth="1"/>
    <col min="5693" max="5693" width="16.85546875" style="2" customWidth="1"/>
    <col min="5694" max="5694" width="18.28515625" style="2" customWidth="1"/>
    <col min="5695" max="5695" width="8" style="2" customWidth="1"/>
    <col min="5696" max="5696" width="14.7109375" style="2" customWidth="1"/>
    <col min="5697" max="5697" width="15.28515625" style="2" customWidth="1"/>
    <col min="5698" max="5698" width="15.42578125" style="2" customWidth="1"/>
    <col min="5699" max="5699" width="15.85546875" style="2" customWidth="1"/>
    <col min="5700" max="5700" width="17.140625" style="2" customWidth="1"/>
    <col min="5701" max="5701" width="9.140625" style="2" customWidth="1"/>
    <col min="5702" max="5704" width="10.7109375" style="2" customWidth="1"/>
    <col min="5705" max="5705" width="10.42578125" style="2" customWidth="1"/>
    <col min="5706" max="5706" width="11.28515625" style="2" customWidth="1"/>
    <col min="5707" max="5708" width="8.85546875" style="2"/>
    <col min="5709" max="5709" width="8.85546875" style="2" customWidth="1"/>
    <col min="5710" max="5710" width="9.28515625" style="2" customWidth="1"/>
    <col min="5711" max="5711" width="11" style="2" customWidth="1"/>
    <col min="5712" max="5712" width="12.42578125" style="2" customWidth="1"/>
    <col min="5713" max="5713" width="16.85546875" style="2" customWidth="1"/>
    <col min="5714" max="5714" width="18.42578125" style="2" customWidth="1"/>
    <col min="5715" max="5715" width="17.28515625" style="2" customWidth="1"/>
    <col min="5716" max="5716" width="16" style="2" customWidth="1"/>
    <col min="5717" max="5717" width="15.28515625" style="2" customWidth="1"/>
    <col min="5718" max="5718" width="17.28515625" style="2" customWidth="1"/>
    <col min="5719" max="5719" width="18" style="2" customWidth="1"/>
    <col min="5720" max="5720" width="17.5703125" style="2" customWidth="1"/>
    <col min="5721" max="5721" width="14" style="2" customWidth="1"/>
    <col min="5722" max="5722" width="12.140625" style="2" customWidth="1"/>
    <col min="5723" max="5935" width="8.85546875" style="2"/>
    <col min="5936" max="5936" width="25.28515625" style="2" customWidth="1"/>
    <col min="5937" max="5937" width="49.28515625" style="2" bestFit="1" customWidth="1"/>
    <col min="5938" max="5938" width="16.140625" style="2" customWidth="1"/>
    <col min="5939" max="5939" width="9.140625" style="2" customWidth="1"/>
    <col min="5940" max="5940" width="15.28515625" style="2" bestFit="1" customWidth="1"/>
    <col min="5941" max="5941" width="16.28515625" style="2" bestFit="1" customWidth="1"/>
    <col min="5942" max="5942" width="15.28515625" style="2" bestFit="1" customWidth="1"/>
    <col min="5943" max="5943" width="16.28515625" style="2" customWidth="1"/>
    <col min="5944" max="5944" width="16.7109375" style="2" customWidth="1"/>
    <col min="5945" max="5945" width="9.5703125" style="2" customWidth="1"/>
    <col min="5946" max="5948" width="14.28515625" style="2" customWidth="1"/>
    <col min="5949" max="5949" width="16.85546875" style="2" customWidth="1"/>
    <col min="5950" max="5950" width="18.28515625" style="2" customWidth="1"/>
    <col min="5951" max="5951" width="8" style="2" customWidth="1"/>
    <col min="5952" max="5952" width="14.7109375" style="2" customWidth="1"/>
    <col min="5953" max="5953" width="15.28515625" style="2" customWidth="1"/>
    <col min="5954" max="5954" width="15.42578125" style="2" customWidth="1"/>
    <col min="5955" max="5955" width="15.85546875" style="2" customWidth="1"/>
    <col min="5956" max="5956" width="17.140625" style="2" customWidth="1"/>
    <col min="5957" max="5957" width="9.140625" style="2" customWidth="1"/>
    <col min="5958" max="5960" width="10.7109375" style="2" customWidth="1"/>
    <col min="5961" max="5961" width="10.42578125" style="2" customWidth="1"/>
    <col min="5962" max="5962" width="11.28515625" style="2" customWidth="1"/>
    <col min="5963" max="5964" width="8.85546875" style="2"/>
    <col min="5965" max="5965" width="8.85546875" style="2" customWidth="1"/>
    <col min="5966" max="5966" width="9.28515625" style="2" customWidth="1"/>
    <col min="5967" max="5967" width="11" style="2" customWidth="1"/>
    <col min="5968" max="5968" width="12.42578125" style="2" customWidth="1"/>
    <col min="5969" max="5969" width="16.85546875" style="2" customWidth="1"/>
    <col min="5970" max="5970" width="18.42578125" style="2" customWidth="1"/>
    <col min="5971" max="5971" width="17.28515625" style="2" customWidth="1"/>
    <col min="5972" max="5972" width="16" style="2" customWidth="1"/>
    <col min="5973" max="5973" width="15.28515625" style="2" customWidth="1"/>
    <col min="5974" max="5974" width="17.28515625" style="2" customWidth="1"/>
    <col min="5975" max="5975" width="18" style="2" customWidth="1"/>
    <col min="5976" max="5976" width="17.5703125" style="2" customWidth="1"/>
    <col min="5977" max="5977" width="14" style="2" customWidth="1"/>
    <col min="5978" max="5978" width="12.140625" style="2" customWidth="1"/>
    <col min="5979" max="6191" width="8.85546875" style="2"/>
    <col min="6192" max="6192" width="25.28515625" style="2" customWidth="1"/>
    <col min="6193" max="6193" width="49.28515625" style="2" bestFit="1" customWidth="1"/>
    <col min="6194" max="6194" width="16.140625" style="2" customWidth="1"/>
    <col min="6195" max="6195" width="9.140625" style="2" customWidth="1"/>
    <col min="6196" max="6196" width="15.28515625" style="2" bestFit="1" customWidth="1"/>
    <col min="6197" max="6197" width="16.28515625" style="2" bestFit="1" customWidth="1"/>
    <col min="6198" max="6198" width="15.28515625" style="2" bestFit="1" customWidth="1"/>
    <col min="6199" max="6199" width="16.28515625" style="2" customWidth="1"/>
    <col min="6200" max="6200" width="16.7109375" style="2" customWidth="1"/>
    <col min="6201" max="6201" width="9.5703125" style="2" customWidth="1"/>
    <col min="6202" max="6204" width="14.28515625" style="2" customWidth="1"/>
    <col min="6205" max="6205" width="16.85546875" style="2" customWidth="1"/>
    <col min="6206" max="6206" width="18.28515625" style="2" customWidth="1"/>
    <col min="6207" max="6207" width="8" style="2" customWidth="1"/>
    <col min="6208" max="6208" width="14.7109375" style="2" customWidth="1"/>
    <col min="6209" max="6209" width="15.28515625" style="2" customWidth="1"/>
    <col min="6210" max="6210" width="15.42578125" style="2" customWidth="1"/>
    <col min="6211" max="6211" width="15.85546875" style="2" customWidth="1"/>
    <col min="6212" max="6212" width="17.140625" style="2" customWidth="1"/>
    <col min="6213" max="6213" width="9.140625" style="2" customWidth="1"/>
    <col min="6214" max="6216" width="10.7109375" style="2" customWidth="1"/>
    <col min="6217" max="6217" width="10.42578125" style="2" customWidth="1"/>
    <col min="6218" max="6218" width="11.28515625" style="2" customWidth="1"/>
    <col min="6219" max="6220" width="8.85546875" style="2"/>
    <col min="6221" max="6221" width="8.85546875" style="2" customWidth="1"/>
    <col min="6222" max="6222" width="9.28515625" style="2" customWidth="1"/>
    <col min="6223" max="6223" width="11" style="2" customWidth="1"/>
    <col min="6224" max="6224" width="12.42578125" style="2" customWidth="1"/>
    <col min="6225" max="6225" width="16.85546875" style="2" customWidth="1"/>
    <col min="6226" max="6226" width="18.42578125" style="2" customWidth="1"/>
    <col min="6227" max="6227" width="17.28515625" style="2" customWidth="1"/>
    <col min="6228" max="6228" width="16" style="2" customWidth="1"/>
    <col min="6229" max="6229" width="15.28515625" style="2" customWidth="1"/>
    <col min="6230" max="6230" width="17.28515625" style="2" customWidth="1"/>
    <col min="6231" max="6231" width="18" style="2" customWidth="1"/>
    <col min="6232" max="6232" width="17.5703125" style="2" customWidth="1"/>
    <col min="6233" max="6233" width="14" style="2" customWidth="1"/>
    <col min="6234" max="6234" width="12.140625" style="2" customWidth="1"/>
    <col min="6235" max="6447" width="8.85546875" style="2"/>
    <col min="6448" max="6448" width="25.28515625" style="2" customWidth="1"/>
    <col min="6449" max="6449" width="49.28515625" style="2" bestFit="1" customWidth="1"/>
    <col min="6450" max="6450" width="16.140625" style="2" customWidth="1"/>
    <col min="6451" max="6451" width="9.140625" style="2" customWidth="1"/>
    <col min="6452" max="6452" width="15.28515625" style="2" bestFit="1" customWidth="1"/>
    <col min="6453" max="6453" width="16.28515625" style="2" bestFit="1" customWidth="1"/>
    <col min="6454" max="6454" width="15.28515625" style="2" bestFit="1" customWidth="1"/>
    <col min="6455" max="6455" width="16.28515625" style="2" customWidth="1"/>
    <col min="6456" max="6456" width="16.7109375" style="2" customWidth="1"/>
    <col min="6457" max="6457" width="9.5703125" style="2" customWidth="1"/>
    <col min="6458" max="6460" width="14.28515625" style="2" customWidth="1"/>
    <col min="6461" max="6461" width="16.85546875" style="2" customWidth="1"/>
    <col min="6462" max="6462" width="18.28515625" style="2" customWidth="1"/>
    <col min="6463" max="6463" width="8" style="2" customWidth="1"/>
    <col min="6464" max="6464" width="14.7109375" style="2" customWidth="1"/>
    <col min="6465" max="6465" width="15.28515625" style="2" customWidth="1"/>
    <col min="6466" max="6466" width="15.42578125" style="2" customWidth="1"/>
    <col min="6467" max="6467" width="15.85546875" style="2" customWidth="1"/>
    <col min="6468" max="6468" width="17.140625" style="2" customWidth="1"/>
    <col min="6469" max="6469" width="9.140625" style="2" customWidth="1"/>
    <col min="6470" max="6472" width="10.7109375" style="2" customWidth="1"/>
    <col min="6473" max="6473" width="10.42578125" style="2" customWidth="1"/>
    <col min="6474" max="6474" width="11.28515625" style="2" customWidth="1"/>
    <col min="6475" max="6476" width="8.85546875" style="2"/>
    <col min="6477" max="6477" width="8.85546875" style="2" customWidth="1"/>
    <col min="6478" max="6478" width="9.28515625" style="2" customWidth="1"/>
    <col min="6479" max="6479" width="11" style="2" customWidth="1"/>
    <col min="6480" max="6480" width="12.42578125" style="2" customWidth="1"/>
    <col min="6481" max="6481" width="16.85546875" style="2" customWidth="1"/>
    <col min="6482" max="6482" width="18.42578125" style="2" customWidth="1"/>
    <col min="6483" max="6483" width="17.28515625" style="2" customWidth="1"/>
    <col min="6484" max="6484" width="16" style="2" customWidth="1"/>
    <col min="6485" max="6485" width="15.28515625" style="2" customWidth="1"/>
    <col min="6486" max="6486" width="17.28515625" style="2" customWidth="1"/>
    <col min="6487" max="6487" width="18" style="2" customWidth="1"/>
    <col min="6488" max="6488" width="17.5703125" style="2" customWidth="1"/>
    <col min="6489" max="6489" width="14" style="2" customWidth="1"/>
    <col min="6490" max="6490" width="12.140625" style="2" customWidth="1"/>
    <col min="6491" max="6703" width="8.85546875" style="2"/>
    <col min="6704" max="6704" width="25.28515625" style="2" customWidth="1"/>
    <col min="6705" max="6705" width="49.28515625" style="2" bestFit="1" customWidth="1"/>
    <col min="6706" max="6706" width="16.140625" style="2" customWidth="1"/>
    <col min="6707" max="6707" width="9.140625" style="2" customWidth="1"/>
    <col min="6708" max="6708" width="15.28515625" style="2" bestFit="1" customWidth="1"/>
    <col min="6709" max="6709" width="16.28515625" style="2" bestFit="1" customWidth="1"/>
    <col min="6710" max="6710" width="15.28515625" style="2" bestFit="1" customWidth="1"/>
    <col min="6711" max="6711" width="16.28515625" style="2" customWidth="1"/>
    <col min="6712" max="6712" width="16.7109375" style="2" customWidth="1"/>
    <col min="6713" max="6713" width="9.5703125" style="2" customWidth="1"/>
    <col min="6714" max="6716" width="14.28515625" style="2" customWidth="1"/>
    <col min="6717" max="6717" width="16.85546875" style="2" customWidth="1"/>
    <col min="6718" max="6718" width="18.28515625" style="2" customWidth="1"/>
    <col min="6719" max="6719" width="8" style="2" customWidth="1"/>
    <col min="6720" max="6720" width="14.7109375" style="2" customWidth="1"/>
    <col min="6721" max="6721" width="15.28515625" style="2" customWidth="1"/>
    <col min="6722" max="6722" width="15.42578125" style="2" customWidth="1"/>
    <col min="6723" max="6723" width="15.85546875" style="2" customWidth="1"/>
    <col min="6724" max="6724" width="17.140625" style="2" customWidth="1"/>
    <col min="6725" max="6725" width="9.140625" style="2" customWidth="1"/>
    <col min="6726" max="6728" width="10.7109375" style="2" customWidth="1"/>
    <col min="6729" max="6729" width="10.42578125" style="2" customWidth="1"/>
    <col min="6730" max="6730" width="11.28515625" style="2" customWidth="1"/>
    <col min="6731" max="6732" width="8.85546875" style="2"/>
    <col min="6733" max="6733" width="8.85546875" style="2" customWidth="1"/>
    <col min="6734" max="6734" width="9.28515625" style="2" customWidth="1"/>
    <col min="6735" max="6735" width="11" style="2" customWidth="1"/>
    <col min="6736" max="6736" width="12.42578125" style="2" customWidth="1"/>
    <col min="6737" max="6737" width="16.85546875" style="2" customWidth="1"/>
    <col min="6738" max="6738" width="18.42578125" style="2" customWidth="1"/>
    <col min="6739" max="6739" width="17.28515625" style="2" customWidth="1"/>
    <col min="6740" max="6740" width="16" style="2" customWidth="1"/>
    <col min="6741" max="6741" width="15.28515625" style="2" customWidth="1"/>
    <col min="6742" max="6742" width="17.28515625" style="2" customWidth="1"/>
    <col min="6743" max="6743" width="18" style="2" customWidth="1"/>
    <col min="6744" max="6744" width="17.5703125" style="2" customWidth="1"/>
    <col min="6745" max="6745" width="14" style="2" customWidth="1"/>
    <col min="6746" max="6746" width="12.140625" style="2" customWidth="1"/>
    <col min="6747" max="6959" width="8.85546875" style="2"/>
    <col min="6960" max="6960" width="25.28515625" style="2" customWidth="1"/>
    <col min="6961" max="6961" width="49.28515625" style="2" bestFit="1" customWidth="1"/>
    <col min="6962" max="6962" width="16.140625" style="2" customWidth="1"/>
    <col min="6963" max="6963" width="9.140625" style="2" customWidth="1"/>
    <col min="6964" max="6964" width="15.28515625" style="2" bestFit="1" customWidth="1"/>
    <col min="6965" max="6965" width="16.28515625" style="2" bestFit="1" customWidth="1"/>
    <col min="6966" max="6966" width="15.28515625" style="2" bestFit="1" customWidth="1"/>
    <col min="6967" max="6967" width="16.28515625" style="2" customWidth="1"/>
    <col min="6968" max="6968" width="16.7109375" style="2" customWidth="1"/>
    <col min="6969" max="6969" width="9.5703125" style="2" customWidth="1"/>
    <col min="6970" max="6972" width="14.28515625" style="2" customWidth="1"/>
    <col min="6973" max="6973" width="16.85546875" style="2" customWidth="1"/>
    <col min="6974" max="6974" width="18.28515625" style="2" customWidth="1"/>
    <col min="6975" max="6975" width="8" style="2" customWidth="1"/>
    <col min="6976" max="6976" width="14.7109375" style="2" customWidth="1"/>
    <col min="6977" max="6977" width="15.28515625" style="2" customWidth="1"/>
    <col min="6978" max="6978" width="15.42578125" style="2" customWidth="1"/>
    <col min="6979" max="6979" width="15.85546875" style="2" customWidth="1"/>
    <col min="6980" max="6980" width="17.140625" style="2" customWidth="1"/>
    <col min="6981" max="6981" width="9.140625" style="2" customWidth="1"/>
    <col min="6982" max="6984" width="10.7109375" style="2" customWidth="1"/>
    <col min="6985" max="6985" width="10.42578125" style="2" customWidth="1"/>
    <col min="6986" max="6986" width="11.28515625" style="2" customWidth="1"/>
    <col min="6987" max="6988" width="8.85546875" style="2"/>
    <col min="6989" max="6989" width="8.85546875" style="2" customWidth="1"/>
    <col min="6990" max="6990" width="9.28515625" style="2" customWidth="1"/>
    <col min="6991" max="6991" width="11" style="2" customWidth="1"/>
    <col min="6992" max="6992" width="12.42578125" style="2" customWidth="1"/>
    <col min="6993" max="6993" width="16.85546875" style="2" customWidth="1"/>
    <col min="6994" max="6994" width="18.42578125" style="2" customWidth="1"/>
    <col min="6995" max="6995" width="17.28515625" style="2" customWidth="1"/>
    <col min="6996" max="6996" width="16" style="2" customWidth="1"/>
    <col min="6997" max="6997" width="15.28515625" style="2" customWidth="1"/>
    <col min="6998" max="6998" width="17.28515625" style="2" customWidth="1"/>
    <col min="6999" max="6999" width="18" style="2" customWidth="1"/>
    <col min="7000" max="7000" width="17.5703125" style="2" customWidth="1"/>
    <col min="7001" max="7001" width="14" style="2" customWidth="1"/>
    <col min="7002" max="7002" width="12.140625" style="2" customWidth="1"/>
    <col min="7003" max="7215" width="8.85546875" style="2"/>
    <col min="7216" max="7216" width="25.28515625" style="2" customWidth="1"/>
    <col min="7217" max="7217" width="49.28515625" style="2" bestFit="1" customWidth="1"/>
    <col min="7218" max="7218" width="16.140625" style="2" customWidth="1"/>
    <col min="7219" max="7219" width="9.140625" style="2" customWidth="1"/>
    <col min="7220" max="7220" width="15.28515625" style="2" bestFit="1" customWidth="1"/>
    <col min="7221" max="7221" width="16.28515625" style="2" bestFit="1" customWidth="1"/>
    <col min="7222" max="7222" width="15.28515625" style="2" bestFit="1" customWidth="1"/>
    <col min="7223" max="7223" width="16.28515625" style="2" customWidth="1"/>
    <col min="7224" max="7224" width="16.7109375" style="2" customWidth="1"/>
    <col min="7225" max="7225" width="9.5703125" style="2" customWidth="1"/>
    <col min="7226" max="7228" width="14.28515625" style="2" customWidth="1"/>
    <col min="7229" max="7229" width="16.85546875" style="2" customWidth="1"/>
    <col min="7230" max="7230" width="18.28515625" style="2" customWidth="1"/>
    <col min="7231" max="7231" width="8" style="2" customWidth="1"/>
    <col min="7232" max="7232" width="14.7109375" style="2" customWidth="1"/>
    <col min="7233" max="7233" width="15.28515625" style="2" customWidth="1"/>
    <col min="7234" max="7234" width="15.42578125" style="2" customWidth="1"/>
    <col min="7235" max="7235" width="15.85546875" style="2" customWidth="1"/>
    <col min="7236" max="7236" width="17.140625" style="2" customWidth="1"/>
    <col min="7237" max="7237" width="9.140625" style="2" customWidth="1"/>
    <col min="7238" max="7240" width="10.7109375" style="2" customWidth="1"/>
    <col min="7241" max="7241" width="10.42578125" style="2" customWidth="1"/>
    <col min="7242" max="7242" width="11.28515625" style="2" customWidth="1"/>
    <col min="7243" max="7244" width="8.85546875" style="2"/>
    <col min="7245" max="7245" width="8.85546875" style="2" customWidth="1"/>
    <col min="7246" max="7246" width="9.28515625" style="2" customWidth="1"/>
    <col min="7247" max="7247" width="11" style="2" customWidth="1"/>
    <col min="7248" max="7248" width="12.42578125" style="2" customWidth="1"/>
    <col min="7249" max="7249" width="16.85546875" style="2" customWidth="1"/>
    <col min="7250" max="7250" width="18.42578125" style="2" customWidth="1"/>
    <col min="7251" max="7251" width="17.28515625" style="2" customWidth="1"/>
    <col min="7252" max="7252" width="16" style="2" customWidth="1"/>
    <col min="7253" max="7253" width="15.28515625" style="2" customWidth="1"/>
    <col min="7254" max="7254" width="17.28515625" style="2" customWidth="1"/>
    <col min="7255" max="7255" width="18" style="2" customWidth="1"/>
    <col min="7256" max="7256" width="17.5703125" style="2" customWidth="1"/>
    <col min="7257" max="7257" width="14" style="2" customWidth="1"/>
    <col min="7258" max="7258" width="12.140625" style="2" customWidth="1"/>
    <col min="7259" max="7471" width="8.85546875" style="2"/>
    <col min="7472" max="7472" width="25.28515625" style="2" customWidth="1"/>
    <col min="7473" max="7473" width="49.28515625" style="2" bestFit="1" customWidth="1"/>
    <col min="7474" max="7474" width="16.140625" style="2" customWidth="1"/>
    <col min="7475" max="7475" width="9.140625" style="2" customWidth="1"/>
    <col min="7476" max="7476" width="15.28515625" style="2" bestFit="1" customWidth="1"/>
    <col min="7477" max="7477" width="16.28515625" style="2" bestFit="1" customWidth="1"/>
    <col min="7478" max="7478" width="15.28515625" style="2" bestFit="1" customWidth="1"/>
    <col min="7479" max="7479" width="16.28515625" style="2" customWidth="1"/>
    <col min="7480" max="7480" width="16.7109375" style="2" customWidth="1"/>
    <col min="7481" max="7481" width="9.5703125" style="2" customWidth="1"/>
    <col min="7482" max="7484" width="14.28515625" style="2" customWidth="1"/>
    <col min="7485" max="7485" width="16.85546875" style="2" customWidth="1"/>
    <col min="7486" max="7486" width="18.28515625" style="2" customWidth="1"/>
    <col min="7487" max="7487" width="8" style="2" customWidth="1"/>
    <col min="7488" max="7488" width="14.7109375" style="2" customWidth="1"/>
    <col min="7489" max="7489" width="15.28515625" style="2" customWidth="1"/>
    <col min="7490" max="7490" width="15.42578125" style="2" customWidth="1"/>
    <col min="7491" max="7491" width="15.85546875" style="2" customWidth="1"/>
    <col min="7492" max="7492" width="17.140625" style="2" customWidth="1"/>
    <col min="7493" max="7493" width="9.140625" style="2" customWidth="1"/>
    <col min="7494" max="7496" width="10.7109375" style="2" customWidth="1"/>
    <col min="7497" max="7497" width="10.42578125" style="2" customWidth="1"/>
    <col min="7498" max="7498" width="11.28515625" style="2" customWidth="1"/>
    <col min="7499" max="7500" width="8.85546875" style="2"/>
    <col min="7501" max="7501" width="8.85546875" style="2" customWidth="1"/>
    <col min="7502" max="7502" width="9.28515625" style="2" customWidth="1"/>
    <col min="7503" max="7503" width="11" style="2" customWidth="1"/>
    <col min="7504" max="7504" width="12.42578125" style="2" customWidth="1"/>
    <col min="7505" max="7505" width="16.85546875" style="2" customWidth="1"/>
    <col min="7506" max="7506" width="18.42578125" style="2" customWidth="1"/>
    <col min="7507" max="7507" width="17.28515625" style="2" customWidth="1"/>
    <col min="7508" max="7508" width="16" style="2" customWidth="1"/>
    <col min="7509" max="7509" width="15.28515625" style="2" customWidth="1"/>
    <col min="7510" max="7510" width="17.28515625" style="2" customWidth="1"/>
    <col min="7511" max="7511" width="18" style="2" customWidth="1"/>
    <col min="7512" max="7512" width="17.5703125" style="2" customWidth="1"/>
    <col min="7513" max="7513" width="14" style="2" customWidth="1"/>
    <col min="7514" max="7514" width="12.140625" style="2" customWidth="1"/>
    <col min="7515" max="7727" width="8.85546875" style="2"/>
    <col min="7728" max="7728" width="25.28515625" style="2" customWidth="1"/>
    <col min="7729" max="7729" width="49.28515625" style="2" bestFit="1" customWidth="1"/>
    <col min="7730" max="7730" width="16.140625" style="2" customWidth="1"/>
    <col min="7731" max="7731" width="9.140625" style="2" customWidth="1"/>
    <col min="7732" max="7732" width="15.28515625" style="2" bestFit="1" customWidth="1"/>
    <col min="7733" max="7733" width="16.28515625" style="2" bestFit="1" customWidth="1"/>
    <col min="7734" max="7734" width="15.28515625" style="2" bestFit="1" customWidth="1"/>
    <col min="7735" max="7735" width="16.28515625" style="2" customWidth="1"/>
    <col min="7736" max="7736" width="16.7109375" style="2" customWidth="1"/>
    <col min="7737" max="7737" width="9.5703125" style="2" customWidth="1"/>
    <col min="7738" max="7740" width="14.28515625" style="2" customWidth="1"/>
    <col min="7741" max="7741" width="16.85546875" style="2" customWidth="1"/>
    <col min="7742" max="7742" width="18.28515625" style="2" customWidth="1"/>
    <col min="7743" max="7743" width="8" style="2" customWidth="1"/>
    <col min="7744" max="7744" width="14.7109375" style="2" customWidth="1"/>
    <col min="7745" max="7745" width="15.28515625" style="2" customWidth="1"/>
    <col min="7746" max="7746" width="15.42578125" style="2" customWidth="1"/>
    <col min="7747" max="7747" width="15.85546875" style="2" customWidth="1"/>
    <col min="7748" max="7748" width="17.140625" style="2" customWidth="1"/>
    <col min="7749" max="7749" width="9.140625" style="2" customWidth="1"/>
    <col min="7750" max="7752" width="10.7109375" style="2" customWidth="1"/>
    <col min="7753" max="7753" width="10.42578125" style="2" customWidth="1"/>
    <col min="7754" max="7754" width="11.28515625" style="2" customWidth="1"/>
    <col min="7755" max="7756" width="8.85546875" style="2"/>
    <col min="7757" max="7757" width="8.85546875" style="2" customWidth="1"/>
    <col min="7758" max="7758" width="9.28515625" style="2" customWidth="1"/>
    <col min="7759" max="7759" width="11" style="2" customWidth="1"/>
    <col min="7760" max="7760" width="12.42578125" style="2" customWidth="1"/>
    <col min="7761" max="7761" width="16.85546875" style="2" customWidth="1"/>
    <col min="7762" max="7762" width="18.42578125" style="2" customWidth="1"/>
    <col min="7763" max="7763" width="17.28515625" style="2" customWidth="1"/>
    <col min="7764" max="7764" width="16" style="2" customWidth="1"/>
    <col min="7765" max="7765" width="15.28515625" style="2" customWidth="1"/>
    <col min="7766" max="7766" width="17.28515625" style="2" customWidth="1"/>
    <col min="7767" max="7767" width="18" style="2" customWidth="1"/>
    <col min="7768" max="7768" width="17.5703125" style="2" customWidth="1"/>
    <col min="7769" max="7769" width="14" style="2" customWidth="1"/>
    <col min="7770" max="7770" width="12.140625" style="2" customWidth="1"/>
    <col min="7771" max="7983" width="8.85546875" style="2"/>
    <col min="7984" max="7984" width="25.28515625" style="2" customWidth="1"/>
    <col min="7985" max="7985" width="49.28515625" style="2" bestFit="1" customWidth="1"/>
    <col min="7986" max="7986" width="16.140625" style="2" customWidth="1"/>
    <col min="7987" max="7987" width="9.140625" style="2" customWidth="1"/>
    <col min="7988" max="7988" width="15.28515625" style="2" bestFit="1" customWidth="1"/>
    <col min="7989" max="7989" width="16.28515625" style="2" bestFit="1" customWidth="1"/>
    <col min="7990" max="7990" width="15.28515625" style="2" bestFit="1" customWidth="1"/>
    <col min="7991" max="7991" width="16.28515625" style="2" customWidth="1"/>
    <col min="7992" max="7992" width="16.7109375" style="2" customWidth="1"/>
    <col min="7993" max="7993" width="9.5703125" style="2" customWidth="1"/>
    <col min="7994" max="7996" width="14.28515625" style="2" customWidth="1"/>
    <col min="7997" max="7997" width="16.85546875" style="2" customWidth="1"/>
    <col min="7998" max="7998" width="18.28515625" style="2" customWidth="1"/>
    <col min="7999" max="7999" width="8" style="2" customWidth="1"/>
    <col min="8000" max="8000" width="14.7109375" style="2" customWidth="1"/>
    <col min="8001" max="8001" width="15.28515625" style="2" customWidth="1"/>
    <col min="8002" max="8002" width="15.42578125" style="2" customWidth="1"/>
    <col min="8003" max="8003" width="15.85546875" style="2" customWidth="1"/>
    <col min="8004" max="8004" width="17.140625" style="2" customWidth="1"/>
    <col min="8005" max="8005" width="9.140625" style="2" customWidth="1"/>
    <col min="8006" max="8008" width="10.7109375" style="2" customWidth="1"/>
    <col min="8009" max="8009" width="10.42578125" style="2" customWidth="1"/>
    <col min="8010" max="8010" width="11.28515625" style="2" customWidth="1"/>
    <col min="8011" max="8012" width="8.85546875" style="2"/>
    <col min="8013" max="8013" width="8.85546875" style="2" customWidth="1"/>
    <col min="8014" max="8014" width="9.28515625" style="2" customWidth="1"/>
    <col min="8015" max="8015" width="11" style="2" customWidth="1"/>
    <col min="8016" max="8016" width="12.42578125" style="2" customWidth="1"/>
    <col min="8017" max="8017" width="16.85546875" style="2" customWidth="1"/>
    <col min="8018" max="8018" width="18.42578125" style="2" customWidth="1"/>
    <col min="8019" max="8019" width="17.28515625" style="2" customWidth="1"/>
    <col min="8020" max="8020" width="16" style="2" customWidth="1"/>
    <col min="8021" max="8021" width="15.28515625" style="2" customWidth="1"/>
    <col min="8022" max="8022" width="17.28515625" style="2" customWidth="1"/>
    <col min="8023" max="8023" width="18" style="2" customWidth="1"/>
    <col min="8024" max="8024" width="17.5703125" style="2" customWidth="1"/>
    <col min="8025" max="8025" width="14" style="2" customWidth="1"/>
    <col min="8026" max="8026" width="12.140625" style="2" customWidth="1"/>
    <col min="8027" max="8239" width="8.85546875" style="2"/>
    <col min="8240" max="8240" width="25.28515625" style="2" customWidth="1"/>
    <col min="8241" max="8241" width="49.28515625" style="2" bestFit="1" customWidth="1"/>
    <col min="8242" max="8242" width="16.140625" style="2" customWidth="1"/>
    <col min="8243" max="8243" width="9.140625" style="2" customWidth="1"/>
    <col min="8244" max="8244" width="15.28515625" style="2" bestFit="1" customWidth="1"/>
    <col min="8245" max="8245" width="16.28515625" style="2" bestFit="1" customWidth="1"/>
    <col min="8246" max="8246" width="15.28515625" style="2" bestFit="1" customWidth="1"/>
    <col min="8247" max="8247" width="16.28515625" style="2" customWidth="1"/>
    <col min="8248" max="8248" width="16.7109375" style="2" customWidth="1"/>
    <col min="8249" max="8249" width="9.5703125" style="2" customWidth="1"/>
    <col min="8250" max="8252" width="14.28515625" style="2" customWidth="1"/>
    <col min="8253" max="8253" width="16.85546875" style="2" customWidth="1"/>
    <col min="8254" max="8254" width="18.28515625" style="2" customWidth="1"/>
    <col min="8255" max="8255" width="8" style="2" customWidth="1"/>
    <col min="8256" max="8256" width="14.7109375" style="2" customWidth="1"/>
    <col min="8257" max="8257" width="15.28515625" style="2" customWidth="1"/>
    <col min="8258" max="8258" width="15.42578125" style="2" customWidth="1"/>
    <col min="8259" max="8259" width="15.85546875" style="2" customWidth="1"/>
    <col min="8260" max="8260" width="17.140625" style="2" customWidth="1"/>
    <col min="8261" max="8261" width="9.140625" style="2" customWidth="1"/>
    <col min="8262" max="8264" width="10.7109375" style="2" customWidth="1"/>
    <col min="8265" max="8265" width="10.42578125" style="2" customWidth="1"/>
    <col min="8266" max="8266" width="11.28515625" style="2" customWidth="1"/>
    <col min="8267" max="8268" width="8.85546875" style="2"/>
    <col min="8269" max="8269" width="8.85546875" style="2" customWidth="1"/>
    <col min="8270" max="8270" width="9.28515625" style="2" customWidth="1"/>
    <col min="8271" max="8271" width="11" style="2" customWidth="1"/>
    <col min="8272" max="8272" width="12.42578125" style="2" customWidth="1"/>
    <col min="8273" max="8273" width="16.85546875" style="2" customWidth="1"/>
    <col min="8274" max="8274" width="18.42578125" style="2" customWidth="1"/>
    <col min="8275" max="8275" width="17.28515625" style="2" customWidth="1"/>
    <col min="8276" max="8276" width="16" style="2" customWidth="1"/>
    <col min="8277" max="8277" width="15.28515625" style="2" customWidth="1"/>
    <col min="8278" max="8278" width="17.28515625" style="2" customWidth="1"/>
    <col min="8279" max="8279" width="18" style="2" customWidth="1"/>
    <col min="8280" max="8280" width="17.5703125" style="2" customWidth="1"/>
    <col min="8281" max="8281" width="14" style="2" customWidth="1"/>
    <col min="8282" max="8282" width="12.140625" style="2" customWidth="1"/>
    <col min="8283" max="8495" width="8.85546875" style="2"/>
    <col min="8496" max="8496" width="25.28515625" style="2" customWidth="1"/>
    <col min="8497" max="8497" width="49.28515625" style="2" bestFit="1" customWidth="1"/>
    <col min="8498" max="8498" width="16.140625" style="2" customWidth="1"/>
    <col min="8499" max="8499" width="9.140625" style="2" customWidth="1"/>
    <col min="8500" max="8500" width="15.28515625" style="2" bestFit="1" customWidth="1"/>
    <col min="8501" max="8501" width="16.28515625" style="2" bestFit="1" customWidth="1"/>
    <col min="8502" max="8502" width="15.28515625" style="2" bestFit="1" customWidth="1"/>
    <col min="8503" max="8503" width="16.28515625" style="2" customWidth="1"/>
    <col min="8504" max="8504" width="16.7109375" style="2" customWidth="1"/>
    <col min="8505" max="8505" width="9.5703125" style="2" customWidth="1"/>
    <col min="8506" max="8508" width="14.28515625" style="2" customWidth="1"/>
    <col min="8509" max="8509" width="16.85546875" style="2" customWidth="1"/>
    <col min="8510" max="8510" width="18.28515625" style="2" customWidth="1"/>
    <col min="8511" max="8511" width="8" style="2" customWidth="1"/>
    <col min="8512" max="8512" width="14.7109375" style="2" customWidth="1"/>
    <col min="8513" max="8513" width="15.28515625" style="2" customWidth="1"/>
    <col min="8514" max="8514" width="15.42578125" style="2" customWidth="1"/>
    <col min="8515" max="8515" width="15.85546875" style="2" customWidth="1"/>
    <col min="8516" max="8516" width="17.140625" style="2" customWidth="1"/>
    <col min="8517" max="8517" width="9.140625" style="2" customWidth="1"/>
    <col min="8518" max="8520" width="10.7109375" style="2" customWidth="1"/>
    <col min="8521" max="8521" width="10.42578125" style="2" customWidth="1"/>
    <col min="8522" max="8522" width="11.28515625" style="2" customWidth="1"/>
    <col min="8523" max="8524" width="8.85546875" style="2"/>
    <col min="8525" max="8525" width="8.85546875" style="2" customWidth="1"/>
    <col min="8526" max="8526" width="9.28515625" style="2" customWidth="1"/>
    <col min="8527" max="8527" width="11" style="2" customWidth="1"/>
    <col min="8528" max="8528" width="12.42578125" style="2" customWidth="1"/>
    <col min="8529" max="8529" width="16.85546875" style="2" customWidth="1"/>
    <col min="8530" max="8530" width="18.42578125" style="2" customWidth="1"/>
    <col min="8531" max="8531" width="17.28515625" style="2" customWidth="1"/>
    <col min="8532" max="8532" width="16" style="2" customWidth="1"/>
    <col min="8533" max="8533" width="15.28515625" style="2" customWidth="1"/>
    <col min="8534" max="8534" width="17.28515625" style="2" customWidth="1"/>
    <col min="8535" max="8535" width="18" style="2" customWidth="1"/>
    <col min="8536" max="8536" width="17.5703125" style="2" customWidth="1"/>
    <col min="8537" max="8537" width="14" style="2" customWidth="1"/>
    <col min="8538" max="8538" width="12.140625" style="2" customWidth="1"/>
    <col min="8539" max="8751" width="8.85546875" style="2"/>
    <col min="8752" max="8752" width="25.28515625" style="2" customWidth="1"/>
    <col min="8753" max="8753" width="49.28515625" style="2" bestFit="1" customWidth="1"/>
    <col min="8754" max="8754" width="16.140625" style="2" customWidth="1"/>
    <col min="8755" max="8755" width="9.140625" style="2" customWidth="1"/>
    <col min="8756" max="8756" width="15.28515625" style="2" bestFit="1" customWidth="1"/>
    <col min="8757" max="8757" width="16.28515625" style="2" bestFit="1" customWidth="1"/>
    <col min="8758" max="8758" width="15.28515625" style="2" bestFit="1" customWidth="1"/>
    <col min="8759" max="8759" width="16.28515625" style="2" customWidth="1"/>
    <col min="8760" max="8760" width="16.7109375" style="2" customWidth="1"/>
    <col min="8761" max="8761" width="9.5703125" style="2" customWidth="1"/>
    <col min="8762" max="8764" width="14.28515625" style="2" customWidth="1"/>
    <col min="8765" max="8765" width="16.85546875" style="2" customWidth="1"/>
    <col min="8766" max="8766" width="18.28515625" style="2" customWidth="1"/>
    <col min="8767" max="8767" width="8" style="2" customWidth="1"/>
    <col min="8768" max="8768" width="14.7109375" style="2" customWidth="1"/>
    <col min="8769" max="8769" width="15.28515625" style="2" customWidth="1"/>
    <col min="8770" max="8770" width="15.42578125" style="2" customWidth="1"/>
    <col min="8771" max="8771" width="15.85546875" style="2" customWidth="1"/>
    <col min="8772" max="8772" width="17.140625" style="2" customWidth="1"/>
    <col min="8773" max="8773" width="9.140625" style="2" customWidth="1"/>
    <col min="8774" max="8776" width="10.7109375" style="2" customWidth="1"/>
    <col min="8777" max="8777" width="10.42578125" style="2" customWidth="1"/>
    <col min="8778" max="8778" width="11.28515625" style="2" customWidth="1"/>
    <col min="8779" max="8780" width="8.85546875" style="2"/>
    <col min="8781" max="8781" width="8.85546875" style="2" customWidth="1"/>
    <col min="8782" max="8782" width="9.28515625" style="2" customWidth="1"/>
    <col min="8783" max="8783" width="11" style="2" customWidth="1"/>
    <col min="8784" max="8784" width="12.42578125" style="2" customWidth="1"/>
    <col min="8785" max="8785" width="16.85546875" style="2" customWidth="1"/>
    <col min="8786" max="8786" width="18.42578125" style="2" customWidth="1"/>
    <col min="8787" max="8787" width="17.28515625" style="2" customWidth="1"/>
    <col min="8788" max="8788" width="16" style="2" customWidth="1"/>
    <col min="8789" max="8789" width="15.28515625" style="2" customWidth="1"/>
    <col min="8790" max="8790" width="17.28515625" style="2" customWidth="1"/>
    <col min="8791" max="8791" width="18" style="2" customWidth="1"/>
    <col min="8792" max="8792" width="17.5703125" style="2" customWidth="1"/>
    <col min="8793" max="8793" width="14" style="2" customWidth="1"/>
    <col min="8794" max="8794" width="12.140625" style="2" customWidth="1"/>
    <col min="8795" max="9007" width="8.85546875" style="2"/>
    <col min="9008" max="9008" width="25.28515625" style="2" customWidth="1"/>
    <col min="9009" max="9009" width="49.28515625" style="2" bestFit="1" customWidth="1"/>
    <col min="9010" max="9010" width="16.140625" style="2" customWidth="1"/>
    <col min="9011" max="9011" width="9.140625" style="2" customWidth="1"/>
    <col min="9012" max="9012" width="15.28515625" style="2" bestFit="1" customWidth="1"/>
    <col min="9013" max="9013" width="16.28515625" style="2" bestFit="1" customWidth="1"/>
    <col min="9014" max="9014" width="15.28515625" style="2" bestFit="1" customWidth="1"/>
    <col min="9015" max="9015" width="16.28515625" style="2" customWidth="1"/>
    <col min="9016" max="9016" width="16.7109375" style="2" customWidth="1"/>
    <col min="9017" max="9017" width="9.5703125" style="2" customWidth="1"/>
    <col min="9018" max="9020" width="14.28515625" style="2" customWidth="1"/>
    <col min="9021" max="9021" width="16.85546875" style="2" customWidth="1"/>
    <col min="9022" max="9022" width="18.28515625" style="2" customWidth="1"/>
    <col min="9023" max="9023" width="8" style="2" customWidth="1"/>
    <col min="9024" max="9024" width="14.7109375" style="2" customWidth="1"/>
    <col min="9025" max="9025" width="15.28515625" style="2" customWidth="1"/>
    <col min="9026" max="9026" width="15.42578125" style="2" customWidth="1"/>
    <col min="9027" max="9027" width="15.85546875" style="2" customWidth="1"/>
    <col min="9028" max="9028" width="17.140625" style="2" customWidth="1"/>
    <col min="9029" max="9029" width="9.140625" style="2" customWidth="1"/>
    <col min="9030" max="9032" width="10.7109375" style="2" customWidth="1"/>
    <col min="9033" max="9033" width="10.42578125" style="2" customWidth="1"/>
    <col min="9034" max="9034" width="11.28515625" style="2" customWidth="1"/>
    <col min="9035" max="9036" width="8.85546875" style="2"/>
    <col min="9037" max="9037" width="8.85546875" style="2" customWidth="1"/>
    <col min="9038" max="9038" width="9.28515625" style="2" customWidth="1"/>
    <col min="9039" max="9039" width="11" style="2" customWidth="1"/>
    <col min="9040" max="9040" width="12.42578125" style="2" customWidth="1"/>
    <col min="9041" max="9041" width="16.85546875" style="2" customWidth="1"/>
    <col min="9042" max="9042" width="18.42578125" style="2" customWidth="1"/>
    <col min="9043" max="9043" width="17.28515625" style="2" customWidth="1"/>
    <col min="9044" max="9044" width="16" style="2" customWidth="1"/>
    <col min="9045" max="9045" width="15.28515625" style="2" customWidth="1"/>
    <col min="9046" max="9046" width="17.28515625" style="2" customWidth="1"/>
    <col min="9047" max="9047" width="18" style="2" customWidth="1"/>
    <col min="9048" max="9048" width="17.5703125" style="2" customWidth="1"/>
    <col min="9049" max="9049" width="14" style="2" customWidth="1"/>
    <col min="9050" max="9050" width="12.140625" style="2" customWidth="1"/>
    <col min="9051" max="9263" width="8.85546875" style="2"/>
    <col min="9264" max="9264" width="25.28515625" style="2" customWidth="1"/>
    <col min="9265" max="9265" width="49.28515625" style="2" bestFit="1" customWidth="1"/>
    <col min="9266" max="9266" width="16.140625" style="2" customWidth="1"/>
    <col min="9267" max="9267" width="9.140625" style="2" customWidth="1"/>
    <col min="9268" max="9268" width="15.28515625" style="2" bestFit="1" customWidth="1"/>
    <col min="9269" max="9269" width="16.28515625" style="2" bestFit="1" customWidth="1"/>
    <col min="9270" max="9270" width="15.28515625" style="2" bestFit="1" customWidth="1"/>
    <col min="9271" max="9271" width="16.28515625" style="2" customWidth="1"/>
    <col min="9272" max="9272" width="16.7109375" style="2" customWidth="1"/>
    <col min="9273" max="9273" width="9.5703125" style="2" customWidth="1"/>
    <col min="9274" max="9276" width="14.28515625" style="2" customWidth="1"/>
    <col min="9277" max="9277" width="16.85546875" style="2" customWidth="1"/>
    <col min="9278" max="9278" width="18.28515625" style="2" customWidth="1"/>
    <col min="9279" max="9279" width="8" style="2" customWidth="1"/>
    <col min="9280" max="9280" width="14.7109375" style="2" customWidth="1"/>
    <col min="9281" max="9281" width="15.28515625" style="2" customWidth="1"/>
    <col min="9282" max="9282" width="15.42578125" style="2" customWidth="1"/>
    <col min="9283" max="9283" width="15.85546875" style="2" customWidth="1"/>
    <col min="9284" max="9284" width="17.140625" style="2" customWidth="1"/>
    <col min="9285" max="9285" width="9.140625" style="2" customWidth="1"/>
    <col min="9286" max="9288" width="10.7109375" style="2" customWidth="1"/>
    <col min="9289" max="9289" width="10.42578125" style="2" customWidth="1"/>
    <col min="9290" max="9290" width="11.28515625" style="2" customWidth="1"/>
    <col min="9291" max="9292" width="8.85546875" style="2"/>
    <col min="9293" max="9293" width="8.85546875" style="2" customWidth="1"/>
    <col min="9294" max="9294" width="9.28515625" style="2" customWidth="1"/>
    <col min="9295" max="9295" width="11" style="2" customWidth="1"/>
    <col min="9296" max="9296" width="12.42578125" style="2" customWidth="1"/>
    <col min="9297" max="9297" width="16.85546875" style="2" customWidth="1"/>
    <col min="9298" max="9298" width="18.42578125" style="2" customWidth="1"/>
    <col min="9299" max="9299" width="17.28515625" style="2" customWidth="1"/>
    <col min="9300" max="9300" width="16" style="2" customWidth="1"/>
    <col min="9301" max="9301" width="15.28515625" style="2" customWidth="1"/>
    <col min="9302" max="9302" width="17.28515625" style="2" customWidth="1"/>
    <col min="9303" max="9303" width="18" style="2" customWidth="1"/>
    <col min="9304" max="9304" width="17.5703125" style="2" customWidth="1"/>
    <col min="9305" max="9305" width="14" style="2" customWidth="1"/>
    <col min="9306" max="9306" width="12.140625" style="2" customWidth="1"/>
    <col min="9307" max="9519" width="8.85546875" style="2"/>
    <col min="9520" max="9520" width="25.28515625" style="2" customWidth="1"/>
    <col min="9521" max="9521" width="49.28515625" style="2" bestFit="1" customWidth="1"/>
    <col min="9522" max="9522" width="16.140625" style="2" customWidth="1"/>
    <col min="9523" max="9523" width="9.140625" style="2" customWidth="1"/>
    <col min="9524" max="9524" width="15.28515625" style="2" bestFit="1" customWidth="1"/>
    <col min="9525" max="9525" width="16.28515625" style="2" bestFit="1" customWidth="1"/>
    <col min="9526" max="9526" width="15.28515625" style="2" bestFit="1" customWidth="1"/>
    <col min="9527" max="9527" width="16.28515625" style="2" customWidth="1"/>
    <col min="9528" max="9528" width="16.7109375" style="2" customWidth="1"/>
    <col min="9529" max="9529" width="9.5703125" style="2" customWidth="1"/>
    <col min="9530" max="9532" width="14.28515625" style="2" customWidth="1"/>
    <col min="9533" max="9533" width="16.85546875" style="2" customWidth="1"/>
    <col min="9534" max="9534" width="18.28515625" style="2" customWidth="1"/>
    <col min="9535" max="9535" width="8" style="2" customWidth="1"/>
    <col min="9536" max="9536" width="14.7109375" style="2" customWidth="1"/>
    <col min="9537" max="9537" width="15.28515625" style="2" customWidth="1"/>
    <col min="9538" max="9538" width="15.42578125" style="2" customWidth="1"/>
    <col min="9539" max="9539" width="15.85546875" style="2" customWidth="1"/>
    <col min="9540" max="9540" width="17.140625" style="2" customWidth="1"/>
    <col min="9541" max="9541" width="9.140625" style="2" customWidth="1"/>
    <col min="9542" max="9544" width="10.7109375" style="2" customWidth="1"/>
    <col min="9545" max="9545" width="10.42578125" style="2" customWidth="1"/>
    <col min="9546" max="9546" width="11.28515625" style="2" customWidth="1"/>
    <col min="9547" max="9548" width="8.85546875" style="2"/>
    <col min="9549" max="9549" width="8.85546875" style="2" customWidth="1"/>
    <col min="9550" max="9550" width="9.28515625" style="2" customWidth="1"/>
    <col min="9551" max="9551" width="11" style="2" customWidth="1"/>
    <col min="9552" max="9552" width="12.42578125" style="2" customWidth="1"/>
    <col min="9553" max="9553" width="16.85546875" style="2" customWidth="1"/>
    <col min="9554" max="9554" width="18.42578125" style="2" customWidth="1"/>
    <col min="9555" max="9555" width="17.28515625" style="2" customWidth="1"/>
    <col min="9556" max="9556" width="16" style="2" customWidth="1"/>
    <col min="9557" max="9557" width="15.28515625" style="2" customWidth="1"/>
    <col min="9558" max="9558" width="17.28515625" style="2" customWidth="1"/>
    <col min="9559" max="9559" width="18" style="2" customWidth="1"/>
    <col min="9560" max="9560" width="17.5703125" style="2" customWidth="1"/>
    <col min="9561" max="9561" width="14" style="2" customWidth="1"/>
    <col min="9562" max="9562" width="12.140625" style="2" customWidth="1"/>
    <col min="9563" max="9775" width="8.85546875" style="2"/>
    <col min="9776" max="9776" width="25.28515625" style="2" customWidth="1"/>
    <col min="9777" max="9777" width="49.28515625" style="2" bestFit="1" customWidth="1"/>
    <col min="9778" max="9778" width="16.140625" style="2" customWidth="1"/>
    <col min="9779" max="9779" width="9.140625" style="2" customWidth="1"/>
    <col min="9780" max="9780" width="15.28515625" style="2" bestFit="1" customWidth="1"/>
    <col min="9781" max="9781" width="16.28515625" style="2" bestFit="1" customWidth="1"/>
    <col min="9782" max="9782" width="15.28515625" style="2" bestFit="1" customWidth="1"/>
    <col min="9783" max="9783" width="16.28515625" style="2" customWidth="1"/>
    <col min="9784" max="9784" width="16.7109375" style="2" customWidth="1"/>
    <col min="9785" max="9785" width="9.5703125" style="2" customWidth="1"/>
    <col min="9786" max="9788" width="14.28515625" style="2" customWidth="1"/>
    <col min="9789" max="9789" width="16.85546875" style="2" customWidth="1"/>
    <col min="9790" max="9790" width="18.28515625" style="2" customWidth="1"/>
    <col min="9791" max="9791" width="8" style="2" customWidth="1"/>
    <col min="9792" max="9792" width="14.7109375" style="2" customWidth="1"/>
    <col min="9793" max="9793" width="15.28515625" style="2" customWidth="1"/>
    <col min="9794" max="9794" width="15.42578125" style="2" customWidth="1"/>
    <col min="9795" max="9795" width="15.85546875" style="2" customWidth="1"/>
    <col min="9796" max="9796" width="17.140625" style="2" customWidth="1"/>
    <col min="9797" max="9797" width="9.140625" style="2" customWidth="1"/>
    <col min="9798" max="9800" width="10.7109375" style="2" customWidth="1"/>
    <col min="9801" max="9801" width="10.42578125" style="2" customWidth="1"/>
    <col min="9802" max="9802" width="11.28515625" style="2" customWidth="1"/>
    <col min="9803" max="9804" width="8.85546875" style="2"/>
    <col min="9805" max="9805" width="8.85546875" style="2" customWidth="1"/>
    <col min="9806" max="9806" width="9.28515625" style="2" customWidth="1"/>
    <col min="9807" max="9807" width="11" style="2" customWidth="1"/>
    <col min="9808" max="9808" width="12.42578125" style="2" customWidth="1"/>
    <col min="9809" max="9809" width="16.85546875" style="2" customWidth="1"/>
    <col min="9810" max="9810" width="18.42578125" style="2" customWidth="1"/>
    <col min="9811" max="9811" width="17.28515625" style="2" customWidth="1"/>
    <col min="9812" max="9812" width="16" style="2" customWidth="1"/>
    <col min="9813" max="9813" width="15.28515625" style="2" customWidth="1"/>
    <col min="9814" max="9814" width="17.28515625" style="2" customWidth="1"/>
    <col min="9815" max="9815" width="18" style="2" customWidth="1"/>
    <col min="9816" max="9816" width="17.5703125" style="2" customWidth="1"/>
    <col min="9817" max="9817" width="14" style="2" customWidth="1"/>
    <col min="9818" max="9818" width="12.140625" style="2" customWidth="1"/>
    <col min="9819" max="10031" width="8.85546875" style="2"/>
    <col min="10032" max="10032" width="25.28515625" style="2" customWidth="1"/>
    <col min="10033" max="10033" width="49.28515625" style="2" bestFit="1" customWidth="1"/>
    <col min="10034" max="10034" width="16.140625" style="2" customWidth="1"/>
    <col min="10035" max="10035" width="9.140625" style="2" customWidth="1"/>
    <col min="10036" max="10036" width="15.28515625" style="2" bestFit="1" customWidth="1"/>
    <col min="10037" max="10037" width="16.28515625" style="2" bestFit="1" customWidth="1"/>
    <col min="10038" max="10038" width="15.28515625" style="2" bestFit="1" customWidth="1"/>
    <col min="10039" max="10039" width="16.28515625" style="2" customWidth="1"/>
    <col min="10040" max="10040" width="16.7109375" style="2" customWidth="1"/>
    <col min="10041" max="10041" width="9.5703125" style="2" customWidth="1"/>
    <col min="10042" max="10044" width="14.28515625" style="2" customWidth="1"/>
    <col min="10045" max="10045" width="16.85546875" style="2" customWidth="1"/>
    <col min="10046" max="10046" width="18.28515625" style="2" customWidth="1"/>
    <col min="10047" max="10047" width="8" style="2" customWidth="1"/>
    <col min="10048" max="10048" width="14.7109375" style="2" customWidth="1"/>
    <col min="10049" max="10049" width="15.28515625" style="2" customWidth="1"/>
    <col min="10050" max="10050" width="15.42578125" style="2" customWidth="1"/>
    <col min="10051" max="10051" width="15.85546875" style="2" customWidth="1"/>
    <col min="10052" max="10052" width="17.140625" style="2" customWidth="1"/>
    <col min="10053" max="10053" width="9.140625" style="2" customWidth="1"/>
    <col min="10054" max="10056" width="10.7109375" style="2" customWidth="1"/>
    <col min="10057" max="10057" width="10.42578125" style="2" customWidth="1"/>
    <col min="10058" max="10058" width="11.28515625" style="2" customWidth="1"/>
    <col min="10059" max="10060" width="8.85546875" style="2"/>
    <col min="10061" max="10061" width="8.85546875" style="2" customWidth="1"/>
    <col min="10062" max="10062" width="9.28515625" style="2" customWidth="1"/>
    <col min="10063" max="10063" width="11" style="2" customWidth="1"/>
    <col min="10064" max="10064" width="12.42578125" style="2" customWidth="1"/>
    <col min="10065" max="10065" width="16.85546875" style="2" customWidth="1"/>
    <col min="10066" max="10066" width="18.42578125" style="2" customWidth="1"/>
    <col min="10067" max="10067" width="17.28515625" style="2" customWidth="1"/>
    <col min="10068" max="10068" width="16" style="2" customWidth="1"/>
    <col min="10069" max="10069" width="15.28515625" style="2" customWidth="1"/>
    <col min="10070" max="10070" width="17.28515625" style="2" customWidth="1"/>
    <col min="10071" max="10071" width="18" style="2" customWidth="1"/>
    <col min="10072" max="10072" width="17.5703125" style="2" customWidth="1"/>
    <col min="10073" max="10073" width="14" style="2" customWidth="1"/>
    <col min="10074" max="10074" width="12.140625" style="2" customWidth="1"/>
    <col min="10075" max="10287" width="8.85546875" style="2"/>
    <col min="10288" max="10288" width="25.28515625" style="2" customWidth="1"/>
    <col min="10289" max="10289" width="49.28515625" style="2" bestFit="1" customWidth="1"/>
    <col min="10290" max="10290" width="16.140625" style="2" customWidth="1"/>
    <col min="10291" max="10291" width="9.140625" style="2" customWidth="1"/>
    <col min="10292" max="10292" width="15.28515625" style="2" bestFit="1" customWidth="1"/>
    <col min="10293" max="10293" width="16.28515625" style="2" bestFit="1" customWidth="1"/>
    <col min="10294" max="10294" width="15.28515625" style="2" bestFit="1" customWidth="1"/>
    <col min="10295" max="10295" width="16.28515625" style="2" customWidth="1"/>
    <col min="10296" max="10296" width="16.7109375" style="2" customWidth="1"/>
    <col min="10297" max="10297" width="9.5703125" style="2" customWidth="1"/>
    <col min="10298" max="10300" width="14.28515625" style="2" customWidth="1"/>
    <col min="10301" max="10301" width="16.85546875" style="2" customWidth="1"/>
    <col min="10302" max="10302" width="18.28515625" style="2" customWidth="1"/>
    <col min="10303" max="10303" width="8" style="2" customWidth="1"/>
    <col min="10304" max="10304" width="14.7109375" style="2" customWidth="1"/>
    <col min="10305" max="10305" width="15.28515625" style="2" customWidth="1"/>
    <col min="10306" max="10306" width="15.42578125" style="2" customWidth="1"/>
    <col min="10307" max="10307" width="15.85546875" style="2" customWidth="1"/>
    <col min="10308" max="10308" width="17.140625" style="2" customWidth="1"/>
    <col min="10309" max="10309" width="9.140625" style="2" customWidth="1"/>
    <col min="10310" max="10312" width="10.7109375" style="2" customWidth="1"/>
    <col min="10313" max="10313" width="10.42578125" style="2" customWidth="1"/>
    <col min="10314" max="10314" width="11.28515625" style="2" customWidth="1"/>
    <col min="10315" max="10316" width="8.85546875" style="2"/>
    <col min="10317" max="10317" width="8.85546875" style="2" customWidth="1"/>
    <col min="10318" max="10318" width="9.28515625" style="2" customWidth="1"/>
    <col min="10319" max="10319" width="11" style="2" customWidth="1"/>
    <col min="10320" max="10320" width="12.42578125" style="2" customWidth="1"/>
    <col min="10321" max="10321" width="16.85546875" style="2" customWidth="1"/>
    <col min="10322" max="10322" width="18.42578125" style="2" customWidth="1"/>
    <col min="10323" max="10323" width="17.28515625" style="2" customWidth="1"/>
    <col min="10324" max="10324" width="16" style="2" customWidth="1"/>
    <col min="10325" max="10325" width="15.28515625" style="2" customWidth="1"/>
    <col min="10326" max="10326" width="17.28515625" style="2" customWidth="1"/>
    <col min="10327" max="10327" width="18" style="2" customWidth="1"/>
    <col min="10328" max="10328" width="17.5703125" style="2" customWidth="1"/>
    <col min="10329" max="10329" width="14" style="2" customWidth="1"/>
    <col min="10330" max="10330" width="12.140625" style="2" customWidth="1"/>
    <col min="10331" max="10543" width="8.85546875" style="2"/>
    <col min="10544" max="10544" width="25.28515625" style="2" customWidth="1"/>
    <col min="10545" max="10545" width="49.28515625" style="2" bestFit="1" customWidth="1"/>
    <col min="10546" max="10546" width="16.140625" style="2" customWidth="1"/>
    <col min="10547" max="10547" width="9.140625" style="2" customWidth="1"/>
    <col min="10548" max="10548" width="15.28515625" style="2" bestFit="1" customWidth="1"/>
    <col min="10549" max="10549" width="16.28515625" style="2" bestFit="1" customWidth="1"/>
    <col min="10550" max="10550" width="15.28515625" style="2" bestFit="1" customWidth="1"/>
    <col min="10551" max="10551" width="16.28515625" style="2" customWidth="1"/>
    <col min="10552" max="10552" width="16.7109375" style="2" customWidth="1"/>
    <col min="10553" max="10553" width="9.5703125" style="2" customWidth="1"/>
    <col min="10554" max="10556" width="14.28515625" style="2" customWidth="1"/>
    <col min="10557" max="10557" width="16.85546875" style="2" customWidth="1"/>
    <col min="10558" max="10558" width="18.28515625" style="2" customWidth="1"/>
    <col min="10559" max="10559" width="8" style="2" customWidth="1"/>
    <col min="10560" max="10560" width="14.7109375" style="2" customWidth="1"/>
    <col min="10561" max="10561" width="15.28515625" style="2" customWidth="1"/>
    <col min="10562" max="10562" width="15.42578125" style="2" customWidth="1"/>
    <col min="10563" max="10563" width="15.85546875" style="2" customWidth="1"/>
    <col min="10564" max="10564" width="17.140625" style="2" customWidth="1"/>
    <col min="10565" max="10565" width="9.140625" style="2" customWidth="1"/>
    <col min="10566" max="10568" width="10.7109375" style="2" customWidth="1"/>
    <col min="10569" max="10569" width="10.42578125" style="2" customWidth="1"/>
    <col min="10570" max="10570" width="11.28515625" style="2" customWidth="1"/>
    <col min="10571" max="10572" width="8.85546875" style="2"/>
    <col min="10573" max="10573" width="8.85546875" style="2" customWidth="1"/>
    <col min="10574" max="10574" width="9.28515625" style="2" customWidth="1"/>
    <col min="10575" max="10575" width="11" style="2" customWidth="1"/>
    <col min="10576" max="10576" width="12.42578125" style="2" customWidth="1"/>
    <col min="10577" max="10577" width="16.85546875" style="2" customWidth="1"/>
    <col min="10578" max="10578" width="18.42578125" style="2" customWidth="1"/>
    <col min="10579" max="10579" width="17.28515625" style="2" customWidth="1"/>
    <col min="10580" max="10580" width="16" style="2" customWidth="1"/>
    <col min="10581" max="10581" width="15.28515625" style="2" customWidth="1"/>
    <col min="10582" max="10582" width="17.28515625" style="2" customWidth="1"/>
    <col min="10583" max="10583" width="18" style="2" customWidth="1"/>
    <col min="10584" max="10584" width="17.5703125" style="2" customWidth="1"/>
    <col min="10585" max="10585" width="14" style="2" customWidth="1"/>
    <col min="10586" max="10586" width="12.140625" style="2" customWidth="1"/>
    <col min="10587" max="10799" width="8.85546875" style="2"/>
    <col min="10800" max="10800" width="25.28515625" style="2" customWidth="1"/>
    <col min="10801" max="10801" width="49.28515625" style="2" bestFit="1" customWidth="1"/>
    <col min="10802" max="10802" width="16.140625" style="2" customWidth="1"/>
    <col min="10803" max="10803" width="9.140625" style="2" customWidth="1"/>
    <col min="10804" max="10804" width="15.28515625" style="2" bestFit="1" customWidth="1"/>
    <col min="10805" max="10805" width="16.28515625" style="2" bestFit="1" customWidth="1"/>
    <col min="10806" max="10806" width="15.28515625" style="2" bestFit="1" customWidth="1"/>
    <col min="10807" max="10807" width="16.28515625" style="2" customWidth="1"/>
    <col min="10808" max="10808" width="16.7109375" style="2" customWidth="1"/>
    <col min="10809" max="10809" width="9.5703125" style="2" customWidth="1"/>
    <col min="10810" max="10812" width="14.28515625" style="2" customWidth="1"/>
    <col min="10813" max="10813" width="16.85546875" style="2" customWidth="1"/>
    <col min="10814" max="10814" width="18.28515625" style="2" customWidth="1"/>
    <col min="10815" max="10815" width="8" style="2" customWidth="1"/>
    <col min="10816" max="10816" width="14.7109375" style="2" customWidth="1"/>
    <col min="10817" max="10817" width="15.28515625" style="2" customWidth="1"/>
    <col min="10818" max="10818" width="15.42578125" style="2" customWidth="1"/>
    <col min="10819" max="10819" width="15.85546875" style="2" customWidth="1"/>
    <col min="10820" max="10820" width="17.140625" style="2" customWidth="1"/>
    <col min="10821" max="10821" width="9.140625" style="2" customWidth="1"/>
    <col min="10822" max="10824" width="10.7109375" style="2" customWidth="1"/>
    <col min="10825" max="10825" width="10.42578125" style="2" customWidth="1"/>
    <col min="10826" max="10826" width="11.28515625" style="2" customWidth="1"/>
    <col min="10827" max="10828" width="8.85546875" style="2"/>
    <col min="10829" max="10829" width="8.85546875" style="2" customWidth="1"/>
    <col min="10830" max="10830" width="9.28515625" style="2" customWidth="1"/>
    <col min="10831" max="10831" width="11" style="2" customWidth="1"/>
    <col min="10832" max="10832" width="12.42578125" style="2" customWidth="1"/>
    <col min="10833" max="10833" width="16.85546875" style="2" customWidth="1"/>
    <col min="10834" max="10834" width="18.42578125" style="2" customWidth="1"/>
    <col min="10835" max="10835" width="17.28515625" style="2" customWidth="1"/>
    <col min="10836" max="10836" width="16" style="2" customWidth="1"/>
    <col min="10837" max="10837" width="15.28515625" style="2" customWidth="1"/>
    <col min="10838" max="10838" width="17.28515625" style="2" customWidth="1"/>
    <col min="10839" max="10839" width="18" style="2" customWidth="1"/>
    <col min="10840" max="10840" width="17.5703125" style="2" customWidth="1"/>
    <col min="10841" max="10841" width="14" style="2" customWidth="1"/>
    <col min="10842" max="10842" width="12.140625" style="2" customWidth="1"/>
    <col min="10843" max="11055" width="8.85546875" style="2"/>
    <col min="11056" max="11056" width="25.28515625" style="2" customWidth="1"/>
    <col min="11057" max="11057" width="49.28515625" style="2" bestFit="1" customWidth="1"/>
    <col min="11058" max="11058" width="16.140625" style="2" customWidth="1"/>
    <col min="11059" max="11059" width="9.140625" style="2" customWidth="1"/>
    <col min="11060" max="11060" width="15.28515625" style="2" bestFit="1" customWidth="1"/>
    <col min="11061" max="11061" width="16.28515625" style="2" bestFit="1" customWidth="1"/>
    <col min="11062" max="11062" width="15.28515625" style="2" bestFit="1" customWidth="1"/>
    <col min="11063" max="11063" width="16.28515625" style="2" customWidth="1"/>
    <col min="11064" max="11064" width="16.7109375" style="2" customWidth="1"/>
    <col min="11065" max="11065" width="9.5703125" style="2" customWidth="1"/>
    <col min="11066" max="11068" width="14.28515625" style="2" customWidth="1"/>
    <col min="11069" max="11069" width="16.85546875" style="2" customWidth="1"/>
    <col min="11070" max="11070" width="18.28515625" style="2" customWidth="1"/>
    <col min="11071" max="11071" width="8" style="2" customWidth="1"/>
    <col min="11072" max="11072" width="14.7109375" style="2" customWidth="1"/>
    <col min="11073" max="11073" width="15.28515625" style="2" customWidth="1"/>
    <col min="11074" max="11074" width="15.42578125" style="2" customWidth="1"/>
    <col min="11075" max="11075" width="15.85546875" style="2" customWidth="1"/>
    <col min="11076" max="11076" width="17.140625" style="2" customWidth="1"/>
    <col min="11077" max="11077" width="9.140625" style="2" customWidth="1"/>
    <col min="11078" max="11080" width="10.7109375" style="2" customWidth="1"/>
    <col min="11081" max="11081" width="10.42578125" style="2" customWidth="1"/>
    <col min="11082" max="11082" width="11.28515625" style="2" customWidth="1"/>
    <col min="11083" max="11084" width="8.85546875" style="2"/>
    <col min="11085" max="11085" width="8.85546875" style="2" customWidth="1"/>
    <col min="11086" max="11086" width="9.28515625" style="2" customWidth="1"/>
    <col min="11087" max="11087" width="11" style="2" customWidth="1"/>
    <col min="11088" max="11088" width="12.42578125" style="2" customWidth="1"/>
    <col min="11089" max="11089" width="16.85546875" style="2" customWidth="1"/>
    <col min="11090" max="11090" width="18.42578125" style="2" customWidth="1"/>
    <col min="11091" max="11091" width="17.28515625" style="2" customWidth="1"/>
    <col min="11092" max="11092" width="16" style="2" customWidth="1"/>
    <col min="11093" max="11093" width="15.28515625" style="2" customWidth="1"/>
    <col min="11094" max="11094" width="17.28515625" style="2" customWidth="1"/>
    <col min="11095" max="11095" width="18" style="2" customWidth="1"/>
    <col min="11096" max="11096" width="17.5703125" style="2" customWidth="1"/>
    <col min="11097" max="11097" width="14" style="2" customWidth="1"/>
    <col min="11098" max="11098" width="12.140625" style="2" customWidth="1"/>
    <col min="11099" max="11311" width="8.85546875" style="2"/>
    <col min="11312" max="11312" width="25.28515625" style="2" customWidth="1"/>
    <col min="11313" max="11313" width="49.28515625" style="2" bestFit="1" customWidth="1"/>
    <col min="11314" max="11314" width="16.140625" style="2" customWidth="1"/>
    <col min="11315" max="11315" width="9.140625" style="2" customWidth="1"/>
    <col min="11316" max="11316" width="15.28515625" style="2" bestFit="1" customWidth="1"/>
    <col min="11317" max="11317" width="16.28515625" style="2" bestFit="1" customWidth="1"/>
    <col min="11318" max="11318" width="15.28515625" style="2" bestFit="1" customWidth="1"/>
    <col min="11319" max="11319" width="16.28515625" style="2" customWidth="1"/>
    <col min="11320" max="11320" width="16.7109375" style="2" customWidth="1"/>
    <col min="11321" max="11321" width="9.5703125" style="2" customWidth="1"/>
    <col min="11322" max="11324" width="14.28515625" style="2" customWidth="1"/>
    <col min="11325" max="11325" width="16.85546875" style="2" customWidth="1"/>
    <col min="11326" max="11326" width="18.28515625" style="2" customWidth="1"/>
    <col min="11327" max="11327" width="8" style="2" customWidth="1"/>
    <col min="11328" max="11328" width="14.7109375" style="2" customWidth="1"/>
    <col min="11329" max="11329" width="15.28515625" style="2" customWidth="1"/>
    <col min="11330" max="11330" width="15.42578125" style="2" customWidth="1"/>
    <col min="11331" max="11331" width="15.85546875" style="2" customWidth="1"/>
    <col min="11332" max="11332" width="17.140625" style="2" customWidth="1"/>
    <col min="11333" max="11333" width="9.140625" style="2" customWidth="1"/>
    <col min="11334" max="11336" width="10.7109375" style="2" customWidth="1"/>
    <col min="11337" max="11337" width="10.42578125" style="2" customWidth="1"/>
    <col min="11338" max="11338" width="11.28515625" style="2" customWidth="1"/>
    <col min="11339" max="11340" width="8.85546875" style="2"/>
    <col min="11341" max="11341" width="8.85546875" style="2" customWidth="1"/>
    <col min="11342" max="11342" width="9.28515625" style="2" customWidth="1"/>
    <col min="11343" max="11343" width="11" style="2" customWidth="1"/>
    <col min="11344" max="11344" width="12.42578125" style="2" customWidth="1"/>
    <col min="11345" max="11345" width="16.85546875" style="2" customWidth="1"/>
    <col min="11346" max="11346" width="18.42578125" style="2" customWidth="1"/>
    <col min="11347" max="11347" width="17.28515625" style="2" customWidth="1"/>
    <col min="11348" max="11348" width="16" style="2" customWidth="1"/>
    <col min="11349" max="11349" width="15.28515625" style="2" customWidth="1"/>
    <col min="11350" max="11350" width="17.28515625" style="2" customWidth="1"/>
    <col min="11351" max="11351" width="18" style="2" customWidth="1"/>
    <col min="11352" max="11352" width="17.5703125" style="2" customWidth="1"/>
    <col min="11353" max="11353" width="14" style="2" customWidth="1"/>
    <col min="11354" max="11354" width="12.140625" style="2" customWidth="1"/>
    <col min="11355" max="11567" width="8.85546875" style="2"/>
    <col min="11568" max="11568" width="25.28515625" style="2" customWidth="1"/>
    <col min="11569" max="11569" width="49.28515625" style="2" bestFit="1" customWidth="1"/>
    <col min="11570" max="11570" width="16.140625" style="2" customWidth="1"/>
    <col min="11571" max="11571" width="9.140625" style="2" customWidth="1"/>
    <col min="11572" max="11572" width="15.28515625" style="2" bestFit="1" customWidth="1"/>
    <col min="11573" max="11573" width="16.28515625" style="2" bestFit="1" customWidth="1"/>
    <col min="11574" max="11574" width="15.28515625" style="2" bestFit="1" customWidth="1"/>
    <col min="11575" max="11575" width="16.28515625" style="2" customWidth="1"/>
    <col min="11576" max="11576" width="16.7109375" style="2" customWidth="1"/>
    <col min="11577" max="11577" width="9.5703125" style="2" customWidth="1"/>
    <col min="11578" max="11580" width="14.28515625" style="2" customWidth="1"/>
    <col min="11581" max="11581" width="16.85546875" style="2" customWidth="1"/>
    <col min="11582" max="11582" width="18.28515625" style="2" customWidth="1"/>
    <col min="11583" max="11583" width="8" style="2" customWidth="1"/>
    <col min="11584" max="11584" width="14.7109375" style="2" customWidth="1"/>
    <col min="11585" max="11585" width="15.28515625" style="2" customWidth="1"/>
    <col min="11586" max="11586" width="15.42578125" style="2" customWidth="1"/>
    <col min="11587" max="11587" width="15.85546875" style="2" customWidth="1"/>
    <col min="11588" max="11588" width="17.140625" style="2" customWidth="1"/>
    <col min="11589" max="11589" width="9.140625" style="2" customWidth="1"/>
    <col min="11590" max="11592" width="10.7109375" style="2" customWidth="1"/>
    <col min="11593" max="11593" width="10.42578125" style="2" customWidth="1"/>
    <col min="11594" max="11594" width="11.28515625" style="2" customWidth="1"/>
    <col min="11595" max="11596" width="8.85546875" style="2"/>
    <col min="11597" max="11597" width="8.85546875" style="2" customWidth="1"/>
    <col min="11598" max="11598" width="9.28515625" style="2" customWidth="1"/>
    <col min="11599" max="11599" width="11" style="2" customWidth="1"/>
    <col min="11600" max="11600" width="12.42578125" style="2" customWidth="1"/>
    <col min="11601" max="11601" width="16.85546875" style="2" customWidth="1"/>
    <col min="11602" max="11602" width="18.42578125" style="2" customWidth="1"/>
    <col min="11603" max="11603" width="17.28515625" style="2" customWidth="1"/>
    <col min="11604" max="11604" width="16" style="2" customWidth="1"/>
    <col min="11605" max="11605" width="15.28515625" style="2" customWidth="1"/>
    <col min="11606" max="11606" width="17.28515625" style="2" customWidth="1"/>
    <col min="11607" max="11607" width="18" style="2" customWidth="1"/>
    <col min="11608" max="11608" width="17.5703125" style="2" customWidth="1"/>
    <col min="11609" max="11609" width="14" style="2" customWidth="1"/>
    <col min="11610" max="11610" width="12.140625" style="2" customWidth="1"/>
    <col min="11611" max="11823" width="8.85546875" style="2"/>
    <col min="11824" max="11824" width="25.28515625" style="2" customWidth="1"/>
    <col min="11825" max="11825" width="49.28515625" style="2" bestFit="1" customWidth="1"/>
    <col min="11826" max="11826" width="16.140625" style="2" customWidth="1"/>
    <col min="11827" max="11827" width="9.140625" style="2" customWidth="1"/>
    <col min="11828" max="11828" width="15.28515625" style="2" bestFit="1" customWidth="1"/>
    <col min="11829" max="11829" width="16.28515625" style="2" bestFit="1" customWidth="1"/>
    <col min="11830" max="11830" width="15.28515625" style="2" bestFit="1" customWidth="1"/>
    <col min="11831" max="11831" width="16.28515625" style="2" customWidth="1"/>
    <col min="11832" max="11832" width="16.7109375" style="2" customWidth="1"/>
    <col min="11833" max="11833" width="9.5703125" style="2" customWidth="1"/>
    <col min="11834" max="11836" width="14.28515625" style="2" customWidth="1"/>
    <col min="11837" max="11837" width="16.85546875" style="2" customWidth="1"/>
    <col min="11838" max="11838" width="18.28515625" style="2" customWidth="1"/>
    <col min="11839" max="11839" width="8" style="2" customWidth="1"/>
    <col min="11840" max="11840" width="14.7109375" style="2" customWidth="1"/>
    <col min="11841" max="11841" width="15.28515625" style="2" customWidth="1"/>
    <col min="11842" max="11842" width="15.42578125" style="2" customWidth="1"/>
    <col min="11843" max="11843" width="15.85546875" style="2" customWidth="1"/>
    <col min="11844" max="11844" width="17.140625" style="2" customWidth="1"/>
    <col min="11845" max="11845" width="9.140625" style="2" customWidth="1"/>
    <col min="11846" max="11848" width="10.7109375" style="2" customWidth="1"/>
    <col min="11849" max="11849" width="10.42578125" style="2" customWidth="1"/>
    <col min="11850" max="11850" width="11.28515625" style="2" customWidth="1"/>
    <col min="11851" max="11852" width="8.85546875" style="2"/>
    <col min="11853" max="11853" width="8.85546875" style="2" customWidth="1"/>
    <col min="11854" max="11854" width="9.28515625" style="2" customWidth="1"/>
    <col min="11855" max="11855" width="11" style="2" customWidth="1"/>
    <col min="11856" max="11856" width="12.42578125" style="2" customWidth="1"/>
    <col min="11857" max="11857" width="16.85546875" style="2" customWidth="1"/>
    <col min="11858" max="11858" width="18.42578125" style="2" customWidth="1"/>
    <col min="11859" max="11859" width="17.28515625" style="2" customWidth="1"/>
    <col min="11860" max="11860" width="16" style="2" customWidth="1"/>
    <col min="11861" max="11861" width="15.28515625" style="2" customWidth="1"/>
    <col min="11862" max="11862" width="17.28515625" style="2" customWidth="1"/>
    <col min="11863" max="11863" width="18" style="2" customWidth="1"/>
    <col min="11864" max="11864" width="17.5703125" style="2" customWidth="1"/>
    <col min="11865" max="11865" width="14" style="2" customWidth="1"/>
    <col min="11866" max="11866" width="12.140625" style="2" customWidth="1"/>
    <col min="11867" max="12079" width="8.85546875" style="2"/>
    <col min="12080" max="12080" width="25.28515625" style="2" customWidth="1"/>
    <col min="12081" max="12081" width="49.28515625" style="2" bestFit="1" customWidth="1"/>
    <col min="12082" max="12082" width="16.140625" style="2" customWidth="1"/>
    <col min="12083" max="12083" width="9.140625" style="2" customWidth="1"/>
    <col min="12084" max="12084" width="15.28515625" style="2" bestFit="1" customWidth="1"/>
    <col min="12085" max="12085" width="16.28515625" style="2" bestFit="1" customWidth="1"/>
    <col min="12086" max="12086" width="15.28515625" style="2" bestFit="1" customWidth="1"/>
    <col min="12087" max="12087" width="16.28515625" style="2" customWidth="1"/>
    <col min="12088" max="12088" width="16.7109375" style="2" customWidth="1"/>
    <col min="12089" max="12089" width="9.5703125" style="2" customWidth="1"/>
    <col min="12090" max="12092" width="14.28515625" style="2" customWidth="1"/>
    <col min="12093" max="12093" width="16.85546875" style="2" customWidth="1"/>
    <col min="12094" max="12094" width="18.28515625" style="2" customWidth="1"/>
    <col min="12095" max="12095" width="8" style="2" customWidth="1"/>
    <col min="12096" max="12096" width="14.7109375" style="2" customWidth="1"/>
    <col min="12097" max="12097" width="15.28515625" style="2" customWidth="1"/>
    <col min="12098" max="12098" width="15.42578125" style="2" customWidth="1"/>
    <col min="12099" max="12099" width="15.85546875" style="2" customWidth="1"/>
    <col min="12100" max="12100" width="17.140625" style="2" customWidth="1"/>
    <col min="12101" max="12101" width="9.140625" style="2" customWidth="1"/>
    <col min="12102" max="12104" width="10.7109375" style="2" customWidth="1"/>
    <col min="12105" max="12105" width="10.42578125" style="2" customWidth="1"/>
    <col min="12106" max="12106" width="11.28515625" style="2" customWidth="1"/>
    <col min="12107" max="12108" width="8.85546875" style="2"/>
    <col min="12109" max="12109" width="8.85546875" style="2" customWidth="1"/>
    <col min="12110" max="12110" width="9.28515625" style="2" customWidth="1"/>
    <col min="12111" max="12111" width="11" style="2" customWidth="1"/>
    <col min="12112" max="12112" width="12.42578125" style="2" customWidth="1"/>
    <col min="12113" max="12113" width="16.85546875" style="2" customWidth="1"/>
    <col min="12114" max="12114" width="18.42578125" style="2" customWidth="1"/>
    <col min="12115" max="12115" width="17.28515625" style="2" customWidth="1"/>
    <col min="12116" max="12116" width="16" style="2" customWidth="1"/>
    <col min="12117" max="12117" width="15.28515625" style="2" customWidth="1"/>
    <col min="12118" max="12118" width="17.28515625" style="2" customWidth="1"/>
    <col min="12119" max="12119" width="18" style="2" customWidth="1"/>
    <col min="12120" max="12120" width="17.5703125" style="2" customWidth="1"/>
    <col min="12121" max="12121" width="14" style="2" customWidth="1"/>
    <col min="12122" max="12122" width="12.140625" style="2" customWidth="1"/>
    <col min="12123" max="12335" width="8.85546875" style="2"/>
    <col min="12336" max="12336" width="25.28515625" style="2" customWidth="1"/>
    <col min="12337" max="12337" width="49.28515625" style="2" bestFit="1" customWidth="1"/>
    <col min="12338" max="12338" width="16.140625" style="2" customWidth="1"/>
    <col min="12339" max="12339" width="9.140625" style="2" customWidth="1"/>
    <col min="12340" max="12340" width="15.28515625" style="2" bestFit="1" customWidth="1"/>
    <col min="12341" max="12341" width="16.28515625" style="2" bestFit="1" customWidth="1"/>
    <col min="12342" max="12342" width="15.28515625" style="2" bestFit="1" customWidth="1"/>
    <col min="12343" max="12343" width="16.28515625" style="2" customWidth="1"/>
    <col min="12344" max="12344" width="16.7109375" style="2" customWidth="1"/>
    <col min="12345" max="12345" width="9.5703125" style="2" customWidth="1"/>
    <col min="12346" max="12348" width="14.28515625" style="2" customWidth="1"/>
    <col min="12349" max="12349" width="16.85546875" style="2" customWidth="1"/>
    <col min="12350" max="12350" width="18.28515625" style="2" customWidth="1"/>
    <col min="12351" max="12351" width="8" style="2" customWidth="1"/>
    <col min="12352" max="12352" width="14.7109375" style="2" customWidth="1"/>
    <col min="12353" max="12353" width="15.28515625" style="2" customWidth="1"/>
    <col min="12354" max="12354" width="15.42578125" style="2" customWidth="1"/>
    <col min="12355" max="12355" width="15.85546875" style="2" customWidth="1"/>
    <col min="12356" max="12356" width="17.140625" style="2" customWidth="1"/>
    <col min="12357" max="12357" width="9.140625" style="2" customWidth="1"/>
    <col min="12358" max="12360" width="10.7109375" style="2" customWidth="1"/>
    <col min="12361" max="12361" width="10.42578125" style="2" customWidth="1"/>
    <col min="12362" max="12362" width="11.28515625" style="2" customWidth="1"/>
    <col min="12363" max="12364" width="8.85546875" style="2"/>
    <col min="12365" max="12365" width="8.85546875" style="2" customWidth="1"/>
    <col min="12366" max="12366" width="9.28515625" style="2" customWidth="1"/>
    <col min="12367" max="12367" width="11" style="2" customWidth="1"/>
    <col min="12368" max="12368" width="12.42578125" style="2" customWidth="1"/>
    <col min="12369" max="12369" width="16.85546875" style="2" customWidth="1"/>
    <col min="12370" max="12370" width="18.42578125" style="2" customWidth="1"/>
    <col min="12371" max="12371" width="17.28515625" style="2" customWidth="1"/>
    <col min="12372" max="12372" width="16" style="2" customWidth="1"/>
    <col min="12373" max="12373" width="15.28515625" style="2" customWidth="1"/>
    <col min="12374" max="12374" width="17.28515625" style="2" customWidth="1"/>
    <col min="12375" max="12375" width="18" style="2" customWidth="1"/>
    <col min="12376" max="12376" width="17.5703125" style="2" customWidth="1"/>
    <col min="12377" max="12377" width="14" style="2" customWidth="1"/>
    <col min="12378" max="12378" width="12.140625" style="2" customWidth="1"/>
    <col min="12379" max="12591" width="8.85546875" style="2"/>
    <col min="12592" max="12592" width="25.28515625" style="2" customWidth="1"/>
    <col min="12593" max="12593" width="49.28515625" style="2" bestFit="1" customWidth="1"/>
    <col min="12594" max="12594" width="16.140625" style="2" customWidth="1"/>
    <col min="12595" max="12595" width="9.140625" style="2" customWidth="1"/>
    <col min="12596" max="12596" width="15.28515625" style="2" bestFit="1" customWidth="1"/>
    <col min="12597" max="12597" width="16.28515625" style="2" bestFit="1" customWidth="1"/>
    <col min="12598" max="12598" width="15.28515625" style="2" bestFit="1" customWidth="1"/>
    <col min="12599" max="12599" width="16.28515625" style="2" customWidth="1"/>
    <col min="12600" max="12600" width="16.7109375" style="2" customWidth="1"/>
    <col min="12601" max="12601" width="9.5703125" style="2" customWidth="1"/>
    <col min="12602" max="12604" width="14.28515625" style="2" customWidth="1"/>
    <col min="12605" max="12605" width="16.85546875" style="2" customWidth="1"/>
    <col min="12606" max="12606" width="18.28515625" style="2" customWidth="1"/>
    <col min="12607" max="12607" width="8" style="2" customWidth="1"/>
    <col min="12608" max="12608" width="14.7109375" style="2" customWidth="1"/>
    <col min="12609" max="12609" width="15.28515625" style="2" customWidth="1"/>
    <col min="12610" max="12610" width="15.42578125" style="2" customWidth="1"/>
    <col min="12611" max="12611" width="15.85546875" style="2" customWidth="1"/>
    <col min="12612" max="12612" width="17.140625" style="2" customWidth="1"/>
    <col min="12613" max="12613" width="9.140625" style="2" customWidth="1"/>
    <col min="12614" max="12616" width="10.7109375" style="2" customWidth="1"/>
    <col min="12617" max="12617" width="10.42578125" style="2" customWidth="1"/>
    <col min="12618" max="12618" width="11.28515625" style="2" customWidth="1"/>
    <col min="12619" max="12620" width="8.85546875" style="2"/>
    <col min="12621" max="12621" width="8.85546875" style="2" customWidth="1"/>
    <col min="12622" max="12622" width="9.28515625" style="2" customWidth="1"/>
    <col min="12623" max="12623" width="11" style="2" customWidth="1"/>
    <col min="12624" max="12624" width="12.42578125" style="2" customWidth="1"/>
    <col min="12625" max="12625" width="16.85546875" style="2" customWidth="1"/>
    <col min="12626" max="12626" width="18.42578125" style="2" customWidth="1"/>
    <col min="12627" max="12627" width="17.28515625" style="2" customWidth="1"/>
    <col min="12628" max="12628" width="16" style="2" customWidth="1"/>
    <col min="12629" max="12629" width="15.28515625" style="2" customWidth="1"/>
    <col min="12630" max="12630" width="17.28515625" style="2" customWidth="1"/>
    <col min="12631" max="12631" width="18" style="2" customWidth="1"/>
    <col min="12632" max="12632" width="17.5703125" style="2" customWidth="1"/>
    <col min="12633" max="12633" width="14" style="2" customWidth="1"/>
    <col min="12634" max="12634" width="12.140625" style="2" customWidth="1"/>
    <col min="12635" max="12847" width="8.85546875" style="2"/>
    <col min="12848" max="12848" width="25.28515625" style="2" customWidth="1"/>
    <col min="12849" max="12849" width="49.28515625" style="2" bestFit="1" customWidth="1"/>
    <col min="12850" max="12850" width="16.140625" style="2" customWidth="1"/>
    <col min="12851" max="12851" width="9.140625" style="2" customWidth="1"/>
    <col min="12852" max="12852" width="15.28515625" style="2" bestFit="1" customWidth="1"/>
    <col min="12853" max="12853" width="16.28515625" style="2" bestFit="1" customWidth="1"/>
    <col min="12854" max="12854" width="15.28515625" style="2" bestFit="1" customWidth="1"/>
    <col min="12855" max="12855" width="16.28515625" style="2" customWidth="1"/>
    <col min="12856" max="12856" width="16.7109375" style="2" customWidth="1"/>
    <col min="12857" max="12857" width="9.5703125" style="2" customWidth="1"/>
    <col min="12858" max="12860" width="14.28515625" style="2" customWidth="1"/>
    <col min="12861" max="12861" width="16.85546875" style="2" customWidth="1"/>
    <col min="12862" max="12862" width="18.28515625" style="2" customWidth="1"/>
    <col min="12863" max="12863" width="8" style="2" customWidth="1"/>
    <col min="12864" max="12864" width="14.7109375" style="2" customWidth="1"/>
    <col min="12865" max="12865" width="15.28515625" style="2" customWidth="1"/>
    <col min="12866" max="12866" width="15.42578125" style="2" customWidth="1"/>
    <col min="12867" max="12867" width="15.85546875" style="2" customWidth="1"/>
    <col min="12868" max="12868" width="17.140625" style="2" customWidth="1"/>
    <col min="12869" max="12869" width="9.140625" style="2" customWidth="1"/>
    <col min="12870" max="12872" width="10.7109375" style="2" customWidth="1"/>
    <col min="12873" max="12873" width="10.42578125" style="2" customWidth="1"/>
    <col min="12874" max="12874" width="11.28515625" style="2" customWidth="1"/>
    <col min="12875" max="12876" width="8.85546875" style="2"/>
    <col min="12877" max="12877" width="8.85546875" style="2" customWidth="1"/>
    <col min="12878" max="12878" width="9.28515625" style="2" customWidth="1"/>
    <col min="12879" max="12879" width="11" style="2" customWidth="1"/>
    <col min="12880" max="12880" width="12.42578125" style="2" customWidth="1"/>
    <col min="12881" max="12881" width="16.85546875" style="2" customWidth="1"/>
    <col min="12882" max="12882" width="18.42578125" style="2" customWidth="1"/>
    <col min="12883" max="12883" width="17.28515625" style="2" customWidth="1"/>
    <col min="12884" max="12884" width="16" style="2" customWidth="1"/>
    <col min="12885" max="12885" width="15.28515625" style="2" customWidth="1"/>
    <col min="12886" max="12886" width="17.28515625" style="2" customWidth="1"/>
    <col min="12887" max="12887" width="18" style="2" customWidth="1"/>
    <col min="12888" max="12888" width="17.5703125" style="2" customWidth="1"/>
    <col min="12889" max="12889" width="14" style="2" customWidth="1"/>
    <col min="12890" max="12890" width="12.140625" style="2" customWidth="1"/>
    <col min="12891" max="13103" width="8.85546875" style="2"/>
    <col min="13104" max="13104" width="25.28515625" style="2" customWidth="1"/>
    <col min="13105" max="13105" width="49.28515625" style="2" bestFit="1" customWidth="1"/>
    <col min="13106" max="13106" width="16.140625" style="2" customWidth="1"/>
    <col min="13107" max="13107" width="9.140625" style="2" customWidth="1"/>
    <col min="13108" max="13108" width="15.28515625" style="2" bestFit="1" customWidth="1"/>
    <col min="13109" max="13109" width="16.28515625" style="2" bestFit="1" customWidth="1"/>
    <col min="13110" max="13110" width="15.28515625" style="2" bestFit="1" customWidth="1"/>
    <col min="13111" max="13111" width="16.28515625" style="2" customWidth="1"/>
    <col min="13112" max="13112" width="16.7109375" style="2" customWidth="1"/>
    <col min="13113" max="13113" width="9.5703125" style="2" customWidth="1"/>
    <col min="13114" max="13116" width="14.28515625" style="2" customWidth="1"/>
    <col min="13117" max="13117" width="16.85546875" style="2" customWidth="1"/>
    <col min="13118" max="13118" width="18.28515625" style="2" customWidth="1"/>
    <col min="13119" max="13119" width="8" style="2" customWidth="1"/>
    <col min="13120" max="13120" width="14.7109375" style="2" customWidth="1"/>
    <col min="13121" max="13121" width="15.28515625" style="2" customWidth="1"/>
    <col min="13122" max="13122" width="15.42578125" style="2" customWidth="1"/>
    <col min="13123" max="13123" width="15.85546875" style="2" customWidth="1"/>
    <col min="13124" max="13124" width="17.140625" style="2" customWidth="1"/>
    <col min="13125" max="13125" width="9.140625" style="2" customWidth="1"/>
    <col min="13126" max="13128" width="10.7109375" style="2" customWidth="1"/>
    <col min="13129" max="13129" width="10.42578125" style="2" customWidth="1"/>
    <col min="13130" max="13130" width="11.28515625" style="2" customWidth="1"/>
    <col min="13131" max="13132" width="8.85546875" style="2"/>
    <col min="13133" max="13133" width="8.85546875" style="2" customWidth="1"/>
    <col min="13134" max="13134" width="9.28515625" style="2" customWidth="1"/>
    <col min="13135" max="13135" width="11" style="2" customWidth="1"/>
    <col min="13136" max="13136" width="12.42578125" style="2" customWidth="1"/>
    <col min="13137" max="13137" width="16.85546875" style="2" customWidth="1"/>
    <col min="13138" max="13138" width="18.42578125" style="2" customWidth="1"/>
    <col min="13139" max="13139" width="17.28515625" style="2" customWidth="1"/>
    <col min="13140" max="13140" width="16" style="2" customWidth="1"/>
    <col min="13141" max="13141" width="15.28515625" style="2" customWidth="1"/>
    <col min="13142" max="13142" width="17.28515625" style="2" customWidth="1"/>
    <col min="13143" max="13143" width="18" style="2" customWidth="1"/>
    <col min="13144" max="13144" width="17.5703125" style="2" customWidth="1"/>
    <col min="13145" max="13145" width="14" style="2" customWidth="1"/>
    <col min="13146" max="13146" width="12.140625" style="2" customWidth="1"/>
    <col min="13147" max="13359" width="8.85546875" style="2"/>
    <col min="13360" max="13360" width="25.28515625" style="2" customWidth="1"/>
    <col min="13361" max="13361" width="49.28515625" style="2" bestFit="1" customWidth="1"/>
    <col min="13362" max="13362" width="16.140625" style="2" customWidth="1"/>
    <col min="13363" max="13363" width="9.140625" style="2" customWidth="1"/>
    <col min="13364" max="13364" width="15.28515625" style="2" bestFit="1" customWidth="1"/>
    <col min="13365" max="13365" width="16.28515625" style="2" bestFit="1" customWidth="1"/>
    <col min="13366" max="13366" width="15.28515625" style="2" bestFit="1" customWidth="1"/>
    <col min="13367" max="13367" width="16.28515625" style="2" customWidth="1"/>
    <col min="13368" max="13368" width="16.7109375" style="2" customWidth="1"/>
    <col min="13369" max="13369" width="9.5703125" style="2" customWidth="1"/>
    <col min="13370" max="13372" width="14.28515625" style="2" customWidth="1"/>
    <col min="13373" max="13373" width="16.85546875" style="2" customWidth="1"/>
    <col min="13374" max="13374" width="18.28515625" style="2" customWidth="1"/>
    <col min="13375" max="13375" width="8" style="2" customWidth="1"/>
    <col min="13376" max="13376" width="14.7109375" style="2" customWidth="1"/>
    <col min="13377" max="13377" width="15.28515625" style="2" customWidth="1"/>
    <col min="13378" max="13378" width="15.42578125" style="2" customWidth="1"/>
    <col min="13379" max="13379" width="15.85546875" style="2" customWidth="1"/>
    <col min="13380" max="13380" width="17.140625" style="2" customWidth="1"/>
    <col min="13381" max="13381" width="9.140625" style="2" customWidth="1"/>
    <col min="13382" max="13384" width="10.7109375" style="2" customWidth="1"/>
    <col min="13385" max="13385" width="10.42578125" style="2" customWidth="1"/>
    <col min="13386" max="13386" width="11.28515625" style="2" customWidth="1"/>
    <col min="13387" max="13388" width="8.85546875" style="2"/>
    <col min="13389" max="13389" width="8.85546875" style="2" customWidth="1"/>
    <col min="13390" max="13390" width="9.28515625" style="2" customWidth="1"/>
    <col min="13391" max="13391" width="11" style="2" customWidth="1"/>
    <col min="13392" max="13392" width="12.42578125" style="2" customWidth="1"/>
    <col min="13393" max="13393" width="16.85546875" style="2" customWidth="1"/>
    <col min="13394" max="13394" width="18.42578125" style="2" customWidth="1"/>
    <col min="13395" max="13395" width="17.28515625" style="2" customWidth="1"/>
    <col min="13396" max="13396" width="16" style="2" customWidth="1"/>
    <col min="13397" max="13397" width="15.28515625" style="2" customWidth="1"/>
    <col min="13398" max="13398" width="17.28515625" style="2" customWidth="1"/>
    <col min="13399" max="13399" width="18" style="2" customWidth="1"/>
    <col min="13400" max="13400" width="17.5703125" style="2" customWidth="1"/>
    <col min="13401" max="13401" width="14" style="2" customWidth="1"/>
    <col min="13402" max="13402" width="12.140625" style="2" customWidth="1"/>
    <col min="13403" max="13615" width="8.85546875" style="2"/>
    <col min="13616" max="13616" width="25.28515625" style="2" customWidth="1"/>
    <col min="13617" max="13617" width="49.28515625" style="2" bestFit="1" customWidth="1"/>
    <col min="13618" max="13618" width="16.140625" style="2" customWidth="1"/>
    <col min="13619" max="13619" width="9.140625" style="2" customWidth="1"/>
    <col min="13620" max="13620" width="15.28515625" style="2" bestFit="1" customWidth="1"/>
    <col min="13621" max="13621" width="16.28515625" style="2" bestFit="1" customWidth="1"/>
    <col min="13622" max="13622" width="15.28515625" style="2" bestFit="1" customWidth="1"/>
    <col min="13623" max="13623" width="16.28515625" style="2" customWidth="1"/>
    <col min="13624" max="13624" width="16.7109375" style="2" customWidth="1"/>
    <col min="13625" max="13625" width="9.5703125" style="2" customWidth="1"/>
    <col min="13626" max="13628" width="14.28515625" style="2" customWidth="1"/>
    <col min="13629" max="13629" width="16.85546875" style="2" customWidth="1"/>
    <col min="13630" max="13630" width="18.28515625" style="2" customWidth="1"/>
    <col min="13631" max="13631" width="8" style="2" customWidth="1"/>
    <col min="13632" max="13632" width="14.7109375" style="2" customWidth="1"/>
    <col min="13633" max="13633" width="15.28515625" style="2" customWidth="1"/>
    <col min="13634" max="13634" width="15.42578125" style="2" customWidth="1"/>
    <col min="13635" max="13635" width="15.85546875" style="2" customWidth="1"/>
    <col min="13636" max="13636" width="17.140625" style="2" customWidth="1"/>
    <col min="13637" max="13637" width="9.140625" style="2" customWidth="1"/>
    <col min="13638" max="13640" width="10.7109375" style="2" customWidth="1"/>
    <col min="13641" max="13641" width="10.42578125" style="2" customWidth="1"/>
    <col min="13642" max="13642" width="11.28515625" style="2" customWidth="1"/>
    <col min="13643" max="13644" width="8.85546875" style="2"/>
    <col min="13645" max="13645" width="8.85546875" style="2" customWidth="1"/>
    <col min="13646" max="13646" width="9.28515625" style="2" customWidth="1"/>
    <col min="13647" max="13647" width="11" style="2" customWidth="1"/>
    <col min="13648" max="13648" width="12.42578125" style="2" customWidth="1"/>
    <col min="13649" max="13649" width="16.85546875" style="2" customWidth="1"/>
    <col min="13650" max="13650" width="18.42578125" style="2" customWidth="1"/>
    <col min="13651" max="13651" width="17.28515625" style="2" customWidth="1"/>
    <col min="13652" max="13652" width="16" style="2" customWidth="1"/>
    <col min="13653" max="13653" width="15.28515625" style="2" customWidth="1"/>
    <col min="13654" max="13654" width="17.28515625" style="2" customWidth="1"/>
    <col min="13655" max="13655" width="18" style="2" customWidth="1"/>
    <col min="13656" max="13656" width="17.5703125" style="2" customWidth="1"/>
    <col min="13657" max="13657" width="14" style="2" customWidth="1"/>
    <col min="13658" max="13658" width="12.140625" style="2" customWidth="1"/>
    <col min="13659" max="13871" width="8.85546875" style="2"/>
    <col min="13872" max="13872" width="25.28515625" style="2" customWidth="1"/>
    <col min="13873" max="13873" width="49.28515625" style="2" bestFit="1" customWidth="1"/>
    <col min="13874" max="13874" width="16.140625" style="2" customWidth="1"/>
    <col min="13875" max="13875" width="9.140625" style="2" customWidth="1"/>
    <col min="13876" max="13876" width="15.28515625" style="2" bestFit="1" customWidth="1"/>
    <col min="13877" max="13877" width="16.28515625" style="2" bestFit="1" customWidth="1"/>
    <col min="13878" max="13878" width="15.28515625" style="2" bestFit="1" customWidth="1"/>
    <col min="13879" max="13879" width="16.28515625" style="2" customWidth="1"/>
    <col min="13880" max="13880" width="16.7109375" style="2" customWidth="1"/>
    <col min="13881" max="13881" width="9.5703125" style="2" customWidth="1"/>
    <col min="13882" max="13884" width="14.28515625" style="2" customWidth="1"/>
    <col min="13885" max="13885" width="16.85546875" style="2" customWidth="1"/>
    <col min="13886" max="13886" width="18.28515625" style="2" customWidth="1"/>
    <col min="13887" max="13887" width="8" style="2" customWidth="1"/>
    <col min="13888" max="13888" width="14.7109375" style="2" customWidth="1"/>
    <col min="13889" max="13889" width="15.28515625" style="2" customWidth="1"/>
    <col min="13890" max="13890" width="15.42578125" style="2" customWidth="1"/>
    <col min="13891" max="13891" width="15.85546875" style="2" customWidth="1"/>
    <col min="13892" max="13892" width="17.140625" style="2" customWidth="1"/>
    <col min="13893" max="13893" width="9.140625" style="2" customWidth="1"/>
    <col min="13894" max="13896" width="10.7109375" style="2" customWidth="1"/>
    <col min="13897" max="13897" width="10.42578125" style="2" customWidth="1"/>
    <col min="13898" max="13898" width="11.28515625" style="2" customWidth="1"/>
    <col min="13899" max="13900" width="8.85546875" style="2"/>
    <col min="13901" max="13901" width="8.85546875" style="2" customWidth="1"/>
    <col min="13902" max="13902" width="9.28515625" style="2" customWidth="1"/>
    <col min="13903" max="13903" width="11" style="2" customWidth="1"/>
    <col min="13904" max="13904" width="12.42578125" style="2" customWidth="1"/>
    <col min="13905" max="13905" width="16.85546875" style="2" customWidth="1"/>
    <col min="13906" max="13906" width="18.42578125" style="2" customWidth="1"/>
    <col min="13907" max="13907" width="17.28515625" style="2" customWidth="1"/>
    <col min="13908" max="13908" width="16" style="2" customWidth="1"/>
    <col min="13909" max="13909" width="15.28515625" style="2" customWidth="1"/>
    <col min="13910" max="13910" width="17.28515625" style="2" customWidth="1"/>
    <col min="13911" max="13911" width="18" style="2" customWidth="1"/>
    <col min="13912" max="13912" width="17.5703125" style="2" customWidth="1"/>
    <col min="13913" max="13913" width="14" style="2" customWidth="1"/>
    <col min="13914" max="13914" width="12.140625" style="2" customWidth="1"/>
    <col min="13915" max="14127" width="8.85546875" style="2"/>
    <col min="14128" max="14128" width="25.28515625" style="2" customWidth="1"/>
    <col min="14129" max="14129" width="49.28515625" style="2" bestFit="1" customWidth="1"/>
    <col min="14130" max="14130" width="16.140625" style="2" customWidth="1"/>
    <col min="14131" max="14131" width="9.140625" style="2" customWidth="1"/>
    <col min="14132" max="14132" width="15.28515625" style="2" bestFit="1" customWidth="1"/>
    <col min="14133" max="14133" width="16.28515625" style="2" bestFit="1" customWidth="1"/>
    <col min="14134" max="14134" width="15.28515625" style="2" bestFit="1" customWidth="1"/>
    <col min="14135" max="14135" width="16.28515625" style="2" customWidth="1"/>
    <col min="14136" max="14136" width="16.7109375" style="2" customWidth="1"/>
    <col min="14137" max="14137" width="9.5703125" style="2" customWidth="1"/>
    <col min="14138" max="14140" width="14.28515625" style="2" customWidth="1"/>
    <col min="14141" max="14141" width="16.85546875" style="2" customWidth="1"/>
    <col min="14142" max="14142" width="18.28515625" style="2" customWidth="1"/>
    <col min="14143" max="14143" width="8" style="2" customWidth="1"/>
    <col min="14144" max="14144" width="14.7109375" style="2" customWidth="1"/>
    <col min="14145" max="14145" width="15.28515625" style="2" customWidth="1"/>
    <col min="14146" max="14146" width="15.42578125" style="2" customWidth="1"/>
    <col min="14147" max="14147" width="15.85546875" style="2" customWidth="1"/>
    <col min="14148" max="14148" width="17.140625" style="2" customWidth="1"/>
    <col min="14149" max="14149" width="9.140625" style="2" customWidth="1"/>
    <col min="14150" max="14152" width="10.7109375" style="2" customWidth="1"/>
    <col min="14153" max="14153" width="10.42578125" style="2" customWidth="1"/>
    <col min="14154" max="14154" width="11.28515625" style="2" customWidth="1"/>
    <col min="14155" max="14156" width="8.85546875" style="2"/>
    <col min="14157" max="14157" width="8.85546875" style="2" customWidth="1"/>
    <col min="14158" max="14158" width="9.28515625" style="2" customWidth="1"/>
    <col min="14159" max="14159" width="11" style="2" customWidth="1"/>
    <col min="14160" max="14160" width="12.42578125" style="2" customWidth="1"/>
    <col min="14161" max="14161" width="16.85546875" style="2" customWidth="1"/>
    <col min="14162" max="14162" width="18.42578125" style="2" customWidth="1"/>
    <col min="14163" max="14163" width="17.28515625" style="2" customWidth="1"/>
    <col min="14164" max="14164" width="16" style="2" customWidth="1"/>
    <col min="14165" max="14165" width="15.28515625" style="2" customWidth="1"/>
    <col min="14166" max="14166" width="17.28515625" style="2" customWidth="1"/>
    <col min="14167" max="14167" width="18" style="2" customWidth="1"/>
    <col min="14168" max="14168" width="17.5703125" style="2" customWidth="1"/>
    <col min="14169" max="14169" width="14" style="2" customWidth="1"/>
    <col min="14170" max="14170" width="12.140625" style="2" customWidth="1"/>
    <col min="14171" max="14383" width="8.85546875" style="2"/>
    <col min="14384" max="14384" width="25.28515625" style="2" customWidth="1"/>
    <col min="14385" max="14385" width="49.28515625" style="2" bestFit="1" customWidth="1"/>
    <col min="14386" max="14386" width="16.140625" style="2" customWidth="1"/>
    <col min="14387" max="14387" width="9.140625" style="2" customWidth="1"/>
    <col min="14388" max="14388" width="15.28515625" style="2" bestFit="1" customWidth="1"/>
    <col min="14389" max="14389" width="16.28515625" style="2" bestFit="1" customWidth="1"/>
    <col min="14390" max="14390" width="15.28515625" style="2" bestFit="1" customWidth="1"/>
    <col min="14391" max="14391" width="16.28515625" style="2" customWidth="1"/>
    <col min="14392" max="14392" width="16.7109375" style="2" customWidth="1"/>
    <col min="14393" max="14393" width="9.5703125" style="2" customWidth="1"/>
    <col min="14394" max="14396" width="14.28515625" style="2" customWidth="1"/>
    <col min="14397" max="14397" width="16.85546875" style="2" customWidth="1"/>
    <col min="14398" max="14398" width="18.28515625" style="2" customWidth="1"/>
    <col min="14399" max="14399" width="8" style="2" customWidth="1"/>
    <col min="14400" max="14400" width="14.7109375" style="2" customWidth="1"/>
    <col min="14401" max="14401" width="15.28515625" style="2" customWidth="1"/>
    <col min="14402" max="14402" width="15.42578125" style="2" customWidth="1"/>
    <col min="14403" max="14403" width="15.85546875" style="2" customWidth="1"/>
    <col min="14404" max="14404" width="17.140625" style="2" customWidth="1"/>
    <col min="14405" max="14405" width="9.140625" style="2" customWidth="1"/>
    <col min="14406" max="14408" width="10.7109375" style="2" customWidth="1"/>
    <col min="14409" max="14409" width="10.42578125" style="2" customWidth="1"/>
    <col min="14410" max="14410" width="11.28515625" style="2" customWidth="1"/>
    <col min="14411" max="14412" width="8.85546875" style="2"/>
    <col min="14413" max="14413" width="8.85546875" style="2" customWidth="1"/>
    <col min="14414" max="14414" width="9.28515625" style="2" customWidth="1"/>
    <col min="14415" max="14415" width="11" style="2" customWidth="1"/>
    <col min="14416" max="14416" width="12.42578125" style="2" customWidth="1"/>
    <col min="14417" max="14417" width="16.85546875" style="2" customWidth="1"/>
    <col min="14418" max="14418" width="18.42578125" style="2" customWidth="1"/>
    <col min="14419" max="14419" width="17.28515625" style="2" customWidth="1"/>
    <col min="14420" max="14420" width="16" style="2" customWidth="1"/>
    <col min="14421" max="14421" width="15.28515625" style="2" customWidth="1"/>
    <col min="14422" max="14422" width="17.28515625" style="2" customWidth="1"/>
    <col min="14423" max="14423" width="18" style="2" customWidth="1"/>
    <col min="14424" max="14424" width="17.5703125" style="2" customWidth="1"/>
    <col min="14425" max="14425" width="14" style="2" customWidth="1"/>
    <col min="14426" max="14426" width="12.140625" style="2" customWidth="1"/>
    <col min="14427" max="14639" width="8.85546875" style="2"/>
    <col min="14640" max="14640" width="25.28515625" style="2" customWidth="1"/>
    <col min="14641" max="14641" width="49.28515625" style="2" bestFit="1" customWidth="1"/>
    <col min="14642" max="14642" width="16.140625" style="2" customWidth="1"/>
    <col min="14643" max="14643" width="9.140625" style="2" customWidth="1"/>
    <col min="14644" max="14644" width="15.28515625" style="2" bestFit="1" customWidth="1"/>
    <col min="14645" max="14645" width="16.28515625" style="2" bestFit="1" customWidth="1"/>
    <col min="14646" max="14646" width="15.28515625" style="2" bestFit="1" customWidth="1"/>
    <col min="14647" max="14647" width="16.28515625" style="2" customWidth="1"/>
    <col min="14648" max="14648" width="16.7109375" style="2" customWidth="1"/>
    <col min="14649" max="14649" width="9.5703125" style="2" customWidth="1"/>
    <col min="14650" max="14652" width="14.28515625" style="2" customWidth="1"/>
    <col min="14653" max="14653" width="16.85546875" style="2" customWidth="1"/>
    <col min="14654" max="14654" width="18.28515625" style="2" customWidth="1"/>
    <col min="14655" max="14655" width="8" style="2" customWidth="1"/>
    <col min="14656" max="14656" width="14.7109375" style="2" customWidth="1"/>
    <col min="14657" max="14657" width="15.28515625" style="2" customWidth="1"/>
    <col min="14658" max="14658" width="15.42578125" style="2" customWidth="1"/>
    <col min="14659" max="14659" width="15.85546875" style="2" customWidth="1"/>
    <col min="14660" max="14660" width="17.140625" style="2" customWidth="1"/>
    <col min="14661" max="14661" width="9.140625" style="2" customWidth="1"/>
    <col min="14662" max="14664" width="10.7109375" style="2" customWidth="1"/>
    <col min="14665" max="14665" width="10.42578125" style="2" customWidth="1"/>
    <col min="14666" max="14666" width="11.28515625" style="2" customWidth="1"/>
    <col min="14667" max="14668" width="8.85546875" style="2"/>
    <col min="14669" max="14669" width="8.85546875" style="2" customWidth="1"/>
    <col min="14670" max="14670" width="9.28515625" style="2" customWidth="1"/>
    <col min="14671" max="14671" width="11" style="2" customWidth="1"/>
    <col min="14672" max="14672" width="12.42578125" style="2" customWidth="1"/>
    <col min="14673" max="14673" width="16.85546875" style="2" customWidth="1"/>
    <col min="14674" max="14674" width="18.42578125" style="2" customWidth="1"/>
    <col min="14675" max="14675" width="17.28515625" style="2" customWidth="1"/>
    <col min="14676" max="14676" width="16" style="2" customWidth="1"/>
    <col min="14677" max="14677" width="15.28515625" style="2" customWidth="1"/>
    <col min="14678" max="14678" width="17.28515625" style="2" customWidth="1"/>
    <col min="14679" max="14679" width="18" style="2" customWidth="1"/>
    <col min="14680" max="14680" width="17.5703125" style="2" customWidth="1"/>
    <col min="14681" max="14681" width="14" style="2" customWidth="1"/>
    <col min="14682" max="14682" width="12.140625" style="2" customWidth="1"/>
    <col min="14683" max="14895" width="8.85546875" style="2"/>
    <col min="14896" max="14896" width="25.28515625" style="2" customWidth="1"/>
    <col min="14897" max="14897" width="49.28515625" style="2" bestFit="1" customWidth="1"/>
    <col min="14898" max="14898" width="16.140625" style="2" customWidth="1"/>
    <col min="14899" max="14899" width="9.140625" style="2" customWidth="1"/>
    <col min="14900" max="14900" width="15.28515625" style="2" bestFit="1" customWidth="1"/>
    <col min="14901" max="14901" width="16.28515625" style="2" bestFit="1" customWidth="1"/>
    <col min="14902" max="14902" width="15.28515625" style="2" bestFit="1" customWidth="1"/>
    <col min="14903" max="14903" width="16.28515625" style="2" customWidth="1"/>
    <col min="14904" max="14904" width="16.7109375" style="2" customWidth="1"/>
    <col min="14905" max="14905" width="9.5703125" style="2" customWidth="1"/>
    <col min="14906" max="14908" width="14.28515625" style="2" customWidth="1"/>
    <col min="14909" max="14909" width="16.85546875" style="2" customWidth="1"/>
    <col min="14910" max="14910" width="18.28515625" style="2" customWidth="1"/>
    <col min="14911" max="14911" width="8" style="2" customWidth="1"/>
    <col min="14912" max="14912" width="14.7109375" style="2" customWidth="1"/>
    <col min="14913" max="14913" width="15.28515625" style="2" customWidth="1"/>
    <col min="14914" max="14914" width="15.42578125" style="2" customWidth="1"/>
    <col min="14915" max="14915" width="15.85546875" style="2" customWidth="1"/>
    <col min="14916" max="14916" width="17.140625" style="2" customWidth="1"/>
    <col min="14917" max="14917" width="9.140625" style="2" customWidth="1"/>
    <col min="14918" max="14920" width="10.7109375" style="2" customWidth="1"/>
    <col min="14921" max="14921" width="10.42578125" style="2" customWidth="1"/>
    <col min="14922" max="14922" width="11.28515625" style="2" customWidth="1"/>
    <col min="14923" max="14924" width="8.85546875" style="2"/>
    <col min="14925" max="14925" width="8.85546875" style="2" customWidth="1"/>
    <col min="14926" max="14926" width="9.28515625" style="2" customWidth="1"/>
    <col min="14927" max="14927" width="11" style="2" customWidth="1"/>
    <col min="14928" max="14928" width="12.42578125" style="2" customWidth="1"/>
    <col min="14929" max="14929" width="16.85546875" style="2" customWidth="1"/>
    <col min="14930" max="14930" width="18.42578125" style="2" customWidth="1"/>
    <col min="14931" max="14931" width="17.28515625" style="2" customWidth="1"/>
    <col min="14932" max="14932" width="16" style="2" customWidth="1"/>
    <col min="14933" max="14933" width="15.28515625" style="2" customWidth="1"/>
    <col min="14934" max="14934" width="17.28515625" style="2" customWidth="1"/>
    <col min="14935" max="14935" width="18" style="2" customWidth="1"/>
    <col min="14936" max="14936" width="17.5703125" style="2" customWidth="1"/>
    <col min="14937" max="14937" width="14" style="2" customWidth="1"/>
    <col min="14938" max="14938" width="12.140625" style="2" customWidth="1"/>
    <col min="14939" max="15151" width="8.85546875" style="2"/>
    <col min="15152" max="15152" width="25.28515625" style="2" customWidth="1"/>
    <col min="15153" max="15153" width="49.28515625" style="2" bestFit="1" customWidth="1"/>
    <col min="15154" max="15154" width="16.140625" style="2" customWidth="1"/>
    <col min="15155" max="15155" width="9.140625" style="2" customWidth="1"/>
    <col min="15156" max="15156" width="15.28515625" style="2" bestFit="1" customWidth="1"/>
    <col min="15157" max="15157" width="16.28515625" style="2" bestFit="1" customWidth="1"/>
    <col min="15158" max="15158" width="15.28515625" style="2" bestFit="1" customWidth="1"/>
    <col min="15159" max="15159" width="16.28515625" style="2" customWidth="1"/>
    <col min="15160" max="15160" width="16.7109375" style="2" customWidth="1"/>
    <col min="15161" max="15161" width="9.5703125" style="2" customWidth="1"/>
    <col min="15162" max="15164" width="14.28515625" style="2" customWidth="1"/>
    <col min="15165" max="15165" width="16.85546875" style="2" customWidth="1"/>
    <col min="15166" max="15166" width="18.28515625" style="2" customWidth="1"/>
    <col min="15167" max="15167" width="8" style="2" customWidth="1"/>
    <col min="15168" max="15168" width="14.7109375" style="2" customWidth="1"/>
    <col min="15169" max="15169" width="15.28515625" style="2" customWidth="1"/>
    <col min="15170" max="15170" width="15.42578125" style="2" customWidth="1"/>
    <col min="15171" max="15171" width="15.85546875" style="2" customWidth="1"/>
    <col min="15172" max="15172" width="17.140625" style="2" customWidth="1"/>
    <col min="15173" max="15173" width="9.140625" style="2" customWidth="1"/>
    <col min="15174" max="15176" width="10.7109375" style="2" customWidth="1"/>
    <col min="15177" max="15177" width="10.42578125" style="2" customWidth="1"/>
    <col min="15178" max="15178" width="11.28515625" style="2" customWidth="1"/>
    <col min="15179" max="15180" width="8.85546875" style="2"/>
    <col min="15181" max="15181" width="8.85546875" style="2" customWidth="1"/>
    <col min="15182" max="15182" width="9.28515625" style="2" customWidth="1"/>
    <col min="15183" max="15183" width="11" style="2" customWidth="1"/>
    <col min="15184" max="15184" width="12.42578125" style="2" customWidth="1"/>
    <col min="15185" max="15185" width="16.85546875" style="2" customWidth="1"/>
    <col min="15186" max="15186" width="18.42578125" style="2" customWidth="1"/>
    <col min="15187" max="15187" width="17.28515625" style="2" customWidth="1"/>
    <col min="15188" max="15188" width="16" style="2" customWidth="1"/>
    <col min="15189" max="15189" width="15.28515625" style="2" customWidth="1"/>
    <col min="15190" max="15190" width="17.28515625" style="2" customWidth="1"/>
    <col min="15191" max="15191" width="18" style="2" customWidth="1"/>
    <col min="15192" max="15192" width="17.5703125" style="2" customWidth="1"/>
    <col min="15193" max="15193" width="14" style="2" customWidth="1"/>
    <col min="15194" max="15194" width="12.140625" style="2" customWidth="1"/>
    <col min="15195" max="15407" width="8.85546875" style="2"/>
    <col min="15408" max="15408" width="25.28515625" style="2" customWidth="1"/>
    <col min="15409" max="15409" width="49.28515625" style="2" bestFit="1" customWidth="1"/>
    <col min="15410" max="15410" width="16.140625" style="2" customWidth="1"/>
    <col min="15411" max="15411" width="9.140625" style="2" customWidth="1"/>
    <col min="15412" max="15412" width="15.28515625" style="2" bestFit="1" customWidth="1"/>
    <col min="15413" max="15413" width="16.28515625" style="2" bestFit="1" customWidth="1"/>
    <col min="15414" max="15414" width="15.28515625" style="2" bestFit="1" customWidth="1"/>
    <col min="15415" max="15415" width="16.28515625" style="2" customWidth="1"/>
    <col min="15416" max="15416" width="16.7109375" style="2" customWidth="1"/>
    <col min="15417" max="15417" width="9.5703125" style="2" customWidth="1"/>
    <col min="15418" max="15420" width="14.28515625" style="2" customWidth="1"/>
    <col min="15421" max="15421" width="16.85546875" style="2" customWidth="1"/>
    <col min="15422" max="15422" width="18.28515625" style="2" customWidth="1"/>
    <col min="15423" max="15423" width="8" style="2" customWidth="1"/>
    <col min="15424" max="15424" width="14.7109375" style="2" customWidth="1"/>
    <col min="15425" max="15425" width="15.28515625" style="2" customWidth="1"/>
    <col min="15426" max="15426" width="15.42578125" style="2" customWidth="1"/>
    <col min="15427" max="15427" width="15.85546875" style="2" customWidth="1"/>
    <col min="15428" max="15428" width="17.140625" style="2" customWidth="1"/>
    <col min="15429" max="15429" width="9.140625" style="2" customWidth="1"/>
    <col min="15430" max="15432" width="10.7109375" style="2" customWidth="1"/>
    <col min="15433" max="15433" width="10.42578125" style="2" customWidth="1"/>
    <col min="15434" max="15434" width="11.28515625" style="2" customWidth="1"/>
    <col min="15435" max="15436" width="8.85546875" style="2"/>
    <col min="15437" max="15437" width="8.85546875" style="2" customWidth="1"/>
    <col min="15438" max="15438" width="9.28515625" style="2" customWidth="1"/>
    <col min="15439" max="15439" width="11" style="2" customWidth="1"/>
    <col min="15440" max="15440" width="12.42578125" style="2" customWidth="1"/>
    <col min="15441" max="15441" width="16.85546875" style="2" customWidth="1"/>
    <col min="15442" max="15442" width="18.42578125" style="2" customWidth="1"/>
    <col min="15443" max="15443" width="17.28515625" style="2" customWidth="1"/>
    <col min="15444" max="15444" width="16" style="2" customWidth="1"/>
    <col min="15445" max="15445" width="15.28515625" style="2" customWidth="1"/>
    <col min="15446" max="15446" width="17.28515625" style="2" customWidth="1"/>
    <col min="15447" max="15447" width="18" style="2" customWidth="1"/>
    <col min="15448" max="15448" width="17.5703125" style="2" customWidth="1"/>
    <col min="15449" max="15449" width="14" style="2" customWidth="1"/>
    <col min="15450" max="15450" width="12.140625" style="2" customWidth="1"/>
    <col min="15451" max="15663" width="8.85546875" style="2"/>
    <col min="15664" max="15664" width="25.28515625" style="2" customWidth="1"/>
    <col min="15665" max="15665" width="49.28515625" style="2" bestFit="1" customWidth="1"/>
    <col min="15666" max="15666" width="16.140625" style="2" customWidth="1"/>
    <col min="15667" max="15667" width="9.140625" style="2" customWidth="1"/>
    <col min="15668" max="15668" width="15.28515625" style="2" bestFit="1" customWidth="1"/>
    <col min="15669" max="15669" width="16.28515625" style="2" bestFit="1" customWidth="1"/>
    <col min="15670" max="15670" width="15.28515625" style="2" bestFit="1" customWidth="1"/>
    <col min="15671" max="15671" width="16.28515625" style="2" customWidth="1"/>
    <col min="15672" max="15672" width="16.7109375" style="2" customWidth="1"/>
    <col min="15673" max="15673" width="9.5703125" style="2" customWidth="1"/>
    <col min="15674" max="15676" width="14.28515625" style="2" customWidth="1"/>
    <col min="15677" max="15677" width="16.85546875" style="2" customWidth="1"/>
    <col min="15678" max="15678" width="18.28515625" style="2" customWidth="1"/>
    <col min="15679" max="15679" width="8" style="2" customWidth="1"/>
    <col min="15680" max="15680" width="14.7109375" style="2" customWidth="1"/>
    <col min="15681" max="15681" width="15.28515625" style="2" customWidth="1"/>
    <col min="15682" max="15682" width="15.42578125" style="2" customWidth="1"/>
    <col min="15683" max="15683" width="15.85546875" style="2" customWidth="1"/>
    <col min="15684" max="15684" width="17.140625" style="2" customWidth="1"/>
    <col min="15685" max="15685" width="9.140625" style="2" customWidth="1"/>
    <col min="15686" max="15688" width="10.7109375" style="2" customWidth="1"/>
    <col min="15689" max="15689" width="10.42578125" style="2" customWidth="1"/>
    <col min="15690" max="15690" width="11.28515625" style="2" customWidth="1"/>
    <col min="15691" max="15692" width="8.85546875" style="2"/>
    <col min="15693" max="15693" width="8.85546875" style="2" customWidth="1"/>
    <col min="15694" max="15694" width="9.28515625" style="2" customWidth="1"/>
    <col min="15695" max="15695" width="11" style="2" customWidth="1"/>
    <col min="15696" max="15696" width="12.42578125" style="2" customWidth="1"/>
    <col min="15697" max="15697" width="16.85546875" style="2" customWidth="1"/>
    <col min="15698" max="15698" width="18.42578125" style="2" customWidth="1"/>
    <col min="15699" max="15699" width="17.28515625" style="2" customWidth="1"/>
    <col min="15700" max="15700" width="16" style="2" customWidth="1"/>
    <col min="15701" max="15701" width="15.28515625" style="2" customWidth="1"/>
    <col min="15702" max="15702" width="17.28515625" style="2" customWidth="1"/>
    <col min="15703" max="15703" width="18" style="2" customWidth="1"/>
    <col min="15704" max="15704" width="17.5703125" style="2" customWidth="1"/>
    <col min="15705" max="15705" width="14" style="2" customWidth="1"/>
    <col min="15706" max="15706" width="12.140625" style="2" customWidth="1"/>
    <col min="15707" max="15919" width="8.85546875" style="2"/>
    <col min="15920" max="15920" width="25.28515625" style="2" customWidth="1"/>
    <col min="15921" max="15921" width="49.28515625" style="2" bestFit="1" customWidth="1"/>
    <col min="15922" max="15922" width="16.140625" style="2" customWidth="1"/>
    <col min="15923" max="15923" width="9.140625" style="2" customWidth="1"/>
    <col min="15924" max="15924" width="15.28515625" style="2" bestFit="1" customWidth="1"/>
    <col min="15925" max="15925" width="16.28515625" style="2" bestFit="1" customWidth="1"/>
    <col min="15926" max="15926" width="15.28515625" style="2" bestFit="1" customWidth="1"/>
    <col min="15927" max="15927" width="16.28515625" style="2" customWidth="1"/>
    <col min="15928" max="15928" width="16.7109375" style="2" customWidth="1"/>
    <col min="15929" max="15929" width="9.5703125" style="2" customWidth="1"/>
    <col min="15930" max="15932" width="14.28515625" style="2" customWidth="1"/>
    <col min="15933" max="15933" width="16.85546875" style="2" customWidth="1"/>
    <col min="15934" max="15934" width="18.28515625" style="2" customWidth="1"/>
    <col min="15935" max="15935" width="8" style="2" customWidth="1"/>
    <col min="15936" max="15936" width="14.7109375" style="2" customWidth="1"/>
    <col min="15937" max="15937" width="15.28515625" style="2" customWidth="1"/>
    <col min="15938" max="15938" width="15.42578125" style="2" customWidth="1"/>
    <col min="15939" max="15939" width="15.85546875" style="2" customWidth="1"/>
    <col min="15940" max="15940" width="17.140625" style="2" customWidth="1"/>
    <col min="15941" max="15941" width="9.140625" style="2" customWidth="1"/>
    <col min="15942" max="15944" width="10.7109375" style="2" customWidth="1"/>
    <col min="15945" max="15945" width="10.42578125" style="2" customWidth="1"/>
    <col min="15946" max="15946" width="11.28515625" style="2" customWidth="1"/>
    <col min="15947" max="15948" width="8.85546875" style="2"/>
    <col min="15949" max="15949" width="8.85546875" style="2" customWidth="1"/>
    <col min="15950" max="15950" width="9.28515625" style="2" customWidth="1"/>
    <col min="15951" max="15951" width="11" style="2" customWidth="1"/>
    <col min="15952" max="15952" width="12.42578125" style="2" customWidth="1"/>
    <col min="15953" max="15953" width="16.85546875" style="2" customWidth="1"/>
    <col min="15954" max="15954" width="18.42578125" style="2" customWidth="1"/>
    <col min="15955" max="15955" width="17.28515625" style="2" customWidth="1"/>
    <col min="15956" max="15956" width="16" style="2" customWidth="1"/>
    <col min="15957" max="15957" width="15.28515625" style="2" customWidth="1"/>
    <col min="15958" max="15958" width="17.28515625" style="2" customWidth="1"/>
    <col min="15959" max="15959" width="18" style="2" customWidth="1"/>
    <col min="15960" max="15960" width="17.5703125" style="2" customWidth="1"/>
    <col min="15961" max="15961" width="14" style="2" customWidth="1"/>
    <col min="15962" max="15962" width="12.140625" style="2" customWidth="1"/>
    <col min="15963" max="16175" width="8.85546875" style="2"/>
    <col min="16176" max="16176" width="25.28515625" style="2" customWidth="1"/>
    <col min="16177" max="16177" width="49.28515625" style="2" bestFit="1" customWidth="1"/>
    <col min="16178" max="16178" width="16.140625" style="2" customWidth="1"/>
    <col min="16179" max="16179" width="9.140625" style="2" customWidth="1"/>
    <col min="16180" max="16180" width="15.28515625" style="2" bestFit="1" customWidth="1"/>
    <col min="16181" max="16181" width="16.28515625" style="2" bestFit="1" customWidth="1"/>
    <col min="16182" max="16182" width="15.28515625" style="2" bestFit="1" customWidth="1"/>
    <col min="16183" max="16183" width="16.28515625" style="2" customWidth="1"/>
    <col min="16184" max="16184" width="16.7109375" style="2" customWidth="1"/>
    <col min="16185" max="16185" width="9.5703125" style="2" customWidth="1"/>
    <col min="16186" max="16188" width="14.28515625" style="2" customWidth="1"/>
    <col min="16189" max="16189" width="16.85546875" style="2" customWidth="1"/>
    <col min="16190" max="16190" width="18.28515625" style="2" customWidth="1"/>
    <col min="16191" max="16191" width="8" style="2" customWidth="1"/>
    <col min="16192" max="16192" width="14.7109375" style="2" customWidth="1"/>
    <col min="16193" max="16193" width="15.28515625" style="2" customWidth="1"/>
    <col min="16194" max="16194" width="15.42578125" style="2" customWidth="1"/>
    <col min="16195" max="16195" width="15.85546875" style="2" customWidth="1"/>
    <col min="16196" max="16196" width="17.140625" style="2" customWidth="1"/>
    <col min="16197" max="16197" width="9.140625" style="2" customWidth="1"/>
    <col min="16198" max="16200" width="10.7109375" style="2" customWidth="1"/>
    <col min="16201" max="16201" width="10.42578125" style="2" customWidth="1"/>
    <col min="16202" max="16202" width="11.28515625" style="2" customWidth="1"/>
    <col min="16203" max="16204" width="8.85546875" style="2"/>
    <col min="16205" max="16205" width="8.85546875" style="2" customWidth="1"/>
    <col min="16206" max="16206" width="9.28515625" style="2" customWidth="1"/>
    <col min="16207" max="16207" width="11" style="2" customWidth="1"/>
    <col min="16208" max="16208" width="12.42578125" style="2" customWidth="1"/>
    <col min="16209" max="16209" width="16.85546875" style="2" customWidth="1"/>
    <col min="16210" max="16210" width="18.42578125" style="2" customWidth="1"/>
    <col min="16211" max="16211" width="17.28515625" style="2" customWidth="1"/>
    <col min="16212" max="16212" width="16" style="2" customWidth="1"/>
    <col min="16213" max="16213" width="15.28515625" style="2" customWidth="1"/>
    <col min="16214" max="16214" width="17.28515625" style="2" customWidth="1"/>
    <col min="16215" max="16215" width="18" style="2" customWidth="1"/>
    <col min="16216" max="16216" width="17.5703125" style="2" customWidth="1"/>
    <col min="16217" max="16217" width="14" style="2" customWidth="1"/>
    <col min="16218" max="16218" width="12.140625" style="2" customWidth="1"/>
    <col min="16219" max="16384" width="8.85546875" style="2"/>
  </cols>
  <sheetData>
    <row r="3" spans="1:32">
      <c r="C3" s="388" t="s">
        <v>42</v>
      </c>
      <c r="D3" s="388"/>
      <c r="F3" s="30" t="s">
        <v>43</v>
      </c>
      <c r="G3" s="30"/>
      <c r="H3" s="30"/>
      <c r="M3" s="30" t="s">
        <v>44</v>
      </c>
      <c r="N3" s="30"/>
      <c r="T3" s="31" t="s">
        <v>45</v>
      </c>
      <c r="AA3" s="31" t="s">
        <v>46</v>
      </c>
    </row>
    <row r="4" spans="1:32" ht="29.45" customHeight="1">
      <c r="A4" s="24"/>
      <c r="B4" s="24"/>
      <c r="C4" s="32"/>
      <c r="D4" s="33" t="s">
        <v>278</v>
      </c>
      <c r="E4" s="34"/>
      <c r="F4" s="33">
        <v>2017</v>
      </c>
      <c r="G4" s="33">
        <v>2018</v>
      </c>
      <c r="H4" s="33">
        <v>2019</v>
      </c>
      <c r="I4" s="33">
        <v>2020</v>
      </c>
      <c r="J4" s="33" t="s">
        <v>47</v>
      </c>
      <c r="K4" s="33" t="s">
        <v>253</v>
      </c>
      <c r="L4" s="35"/>
      <c r="M4" s="33">
        <v>2017</v>
      </c>
      <c r="N4" s="33">
        <v>2018</v>
      </c>
      <c r="O4" s="33">
        <v>2019</v>
      </c>
      <c r="P4" s="33">
        <v>2020</v>
      </c>
      <c r="Q4" s="33" t="s">
        <v>47</v>
      </c>
      <c r="R4" s="33" t="s">
        <v>253</v>
      </c>
      <c r="S4" s="35"/>
      <c r="T4" s="33">
        <v>2017</v>
      </c>
      <c r="U4" s="33">
        <v>2018</v>
      </c>
      <c r="V4" s="33">
        <v>2019</v>
      </c>
      <c r="W4" s="33">
        <v>2020</v>
      </c>
      <c r="X4" s="33" t="s">
        <v>47</v>
      </c>
      <c r="Y4" s="33" t="s">
        <v>253</v>
      </c>
      <c r="Z4" s="35"/>
      <c r="AA4" s="33">
        <v>2017</v>
      </c>
      <c r="AB4" s="33">
        <v>2018</v>
      </c>
      <c r="AC4" s="33">
        <v>2019</v>
      </c>
      <c r="AD4" s="33">
        <v>2020</v>
      </c>
      <c r="AE4" s="33" t="s">
        <v>47</v>
      </c>
      <c r="AF4" s="33" t="s">
        <v>253</v>
      </c>
    </row>
    <row r="5" spans="1:32">
      <c r="C5" s="12" t="s">
        <v>2</v>
      </c>
      <c r="D5" s="36">
        <f>-AVERAGE(T5:W5)</f>
        <v>0.10238598951372624</v>
      </c>
      <c r="E5" s="37"/>
      <c r="F5" s="38">
        <f t="shared" ref="F5:F11" si="0">SUMIF($B$37:$B$174,$C5,L$37:L$175)</f>
        <v>1132591299.3500001</v>
      </c>
      <c r="G5" s="38">
        <f t="shared" ref="G5:G11" si="1">SUMIF($B$37:$B$174,$C5,T$37:T$174)</f>
        <v>1165141084.9799998</v>
      </c>
      <c r="H5" s="38">
        <f t="shared" ref="H5:H11" si="2">SUMIF($B$37:$B$174,$C5,AB$37:AB$174)</f>
        <v>1166979936.8399999</v>
      </c>
      <c r="I5" s="38">
        <f t="shared" ref="I5:I11" si="3">SUMIF($B$37:$B$174,$C5,AJ$37:AJ$174)</f>
        <v>1283438029.4000001</v>
      </c>
      <c r="J5" s="38">
        <f>+AVERAGE(F5:I5)</f>
        <v>1187037587.6424999</v>
      </c>
      <c r="K5" s="38">
        <f>MEDIAN(F5:I5)</f>
        <v>1166060510.9099998</v>
      </c>
      <c r="L5" s="19"/>
      <c r="M5" s="38">
        <f t="shared" ref="M5:P11" si="4">SUMIF($B$37:$B$178,$C5,BW$37:BW$178)</f>
        <v>1032544304.26</v>
      </c>
      <c r="N5" s="38">
        <f t="shared" si="4"/>
        <v>999424138.5799998</v>
      </c>
      <c r="O5" s="38">
        <f t="shared" si="4"/>
        <v>1056906262.0600001</v>
      </c>
      <c r="P5" s="38">
        <f t="shared" si="4"/>
        <v>1174786345.0900002</v>
      </c>
      <c r="Q5" s="38">
        <f>AVERAGE(M5:P5)</f>
        <v>1065915262.4974999</v>
      </c>
      <c r="R5" s="38">
        <f>MEDIAN(M5:P5)</f>
        <v>1044725283.1600001</v>
      </c>
      <c r="S5" s="19"/>
      <c r="T5" s="36">
        <f>+M5/F5-1</f>
        <v>-8.8334596202017113E-2</v>
      </c>
      <c r="U5" s="36">
        <f>+N5/G5-1</f>
        <v>-0.14222908155611436</v>
      </c>
      <c r="V5" s="36">
        <f>+O5/H5-1</f>
        <v>-9.4323536596577884E-2</v>
      </c>
      <c r="W5" s="36">
        <f>+P5/I5-1</f>
        <v>-8.4656743700195602E-2</v>
      </c>
      <c r="X5" s="36">
        <f>AVERAGE(T5:W5)</f>
        <v>-0.10238598951372624</v>
      </c>
      <c r="Y5" s="36">
        <f>MEDIAN(T5:W5)</f>
        <v>-9.1329066399297498E-2</v>
      </c>
      <c r="Z5" s="25"/>
      <c r="AA5" s="39">
        <f>M5/M$12</f>
        <v>0.49412586148346699</v>
      </c>
      <c r="AB5" s="40">
        <f>N5/N$12</f>
        <v>0.46984838805302681</v>
      </c>
      <c r="AC5" s="40">
        <f>O5/O$12</f>
        <v>0.46400715137370008</v>
      </c>
      <c r="AD5" s="40">
        <f>P5/P$12</f>
        <v>0.48540208098484644</v>
      </c>
      <c r="AE5" s="40">
        <f>AVERAGE(AA5:AD5)</f>
        <v>0.47834587047376009</v>
      </c>
      <c r="AF5" s="40">
        <f>MEDIAN(AA5:AD5)</f>
        <v>0.47762523451893663</v>
      </c>
    </row>
    <row r="6" spans="1:32">
      <c r="C6" s="12" t="s">
        <v>3</v>
      </c>
      <c r="D6" s="36">
        <f t="shared" ref="D6:D11" si="5">-AVERAGE(T6:W6)</f>
        <v>0</v>
      </c>
      <c r="E6" s="37"/>
      <c r="F6" s="38">
        <f t="shared" si="0"/>
        <v>74400435.409999996</v>
      </c>
      <c r="G6" s="38">
        <f t="shared" si="1"/>
        <v>71910645.500000015</v>
      </c>
      <c r="H6" s="38">
        <f t="shared" si="2"/>
        <v>82713741.319999978</v>
      </c>
      <c r="I6" s="38">
        <f t="shared" si="3"/>
        <v>71400133.199999988</v>
      </c>
      <c r="J6" s="38">
        <f t="shared" ref="J6:J11" si="6">+AVERAGE(F6:I6)</f>
        <v>75106238.857500002</v>
      </c>
      <c r="K6" s="38">
        <f t="shared" ref="K6:K11" si="7">MEDIAN(F6:I6)</f>
        <v>73155540.455000013</v>
      </c>
      <c r="L6" s="19"/>
      <c r="M6" s="38">
        <f t="shared" si="4"/>
        <v>74400435.409999996</v>
      </c>
      <c r="N6" s="38">
        <f t="shared" si="4"/>
        <v>71910645.500000015</v>
      </c>
      <c r="O6" s="38">
        <f t="shared" si="4"/>
        <v>82713741.319999978</v>
      </c>
      <c r="P6" s="38">
        <f t="shared" si="4"/>
        <v>71400133.199999988</v>
      </c>
      <c r="Q6" s="38">
        <f t="shared" ref="Q6:Q11" si="8">AVERAGE(M6:P6)</f>
        <v>75106238.857500002</v>
      </c>
      <c r="R6" s="38">
        <f t="shared" ref="R6:R11" si="9">MEDIAN(M6:P6)</f>
        <v>73155540.455000013</v>
      </c>
      <c r="S6" s="19"/>
      <c r="T6" s="36">
        <f t="shared" ref="T6:T12" si="10">+M6/F6-1</f>
        <v>0</v>
      </c>
      <c r="U6" s="36">
        <f t="shared" ref="U6:U11" si="11">+N6/G6-1</f>
        <v>0</v>
      </c>
      <c r="V6" s="36">
        <f t="shared" ref="V6:V11" si="12">+O6/H6-1</f>
        <v>0</v>
      </c>
      <c r="W6" s="36">
        <f t="shared" ref="W6:W12" si="13">+P6/I6-1</f>
        <v>0</v>
      </c>
      <c r="X6" s="36">
        <f t="shared" ref="X6:X11" si="14">AVERAGE(T6:W6)</f>
        <v>0</v>
      </c>
      <c r="Y6" s="36">
        <f t="shared" ref="Y6:Y12" si="15">MEDIAN(T6:W6)</f>
        <v>0</v>
      </c>
      <c r="Z6" s="25"/>
      <c r="AA6" s="39">
        <f t="shared" ref="AA6:AA11" si="16">M6/M$12</f>
        <v>3.5604456961349069E-2</v>
      </c>
      <c r="AB6" s="40">
        <f t="shared" ref="AB6:AB11" si="17">N6/N$12</f>
        <v>3.3806568770725298E-2</v>
      </c>
      <c r="AC6" s="40">
        <f t="shared" ref="AC6:AC11" si="18">O6/O$12</f>
        <v>3.6313312605934303E-2</v>
      </c>
      <c r="AD6" s="40">
        <f t="shared" ref="AD6:AD11" si="19">P6/P$12</f>
        <v>2.9501341569662262E-2</v>
      </c>
      <c r="AE6" s="40">
        <f t="shared" ref="AE6:AE11" si="20">AVERAGE(AA6:AD6)</f>
        <v>3.3806419976917731E-2</v>
      </c>
      <c r="AF6" s="40">
        <f t="shared" ref="AF6:AF11" si="21">MEDIAN(AA6:AD6)</f>
        <v>3.470551286603718E-2</v>
      </c>
    </row>
    <row r="7" spans="1:32">
      <c r="C7" s="12" t="s">
        <v>4</v>
      </c>
      <c r="D7" s="36">
        <f t="shared" si="5"/>
        <v>0</v>
      </c>
      <c r="E7" s="37"/>
      <c r="F7" s="38">
        <f t="shared" si="0"/>
        <v>82291696.769999951</v>
      </c>
      <c r="G7" s="38">
        <f t="shared" si="1"/>
        <v>79227082.659999982</v>
      </c>
      <c r="H7" s="38">
        <f t="shared" si="2"/>
        <v>119895943.2599999</v>
      </c>
      <c r="I7" s="38">
        <f t="shared" si="3"/>
        <v>143969407.82999992</v>
      </c>
      <c r="J7" s="38">
        <f t="shared" si="6"/>
        <v>106346032.62999994</v>
      </c>
      <c r="K7" s="38">
        <f t="shared" si="7"/>
        <v>101093820.01499993</v>
      </c>
      <c r="L7" s="19"/>
      <c r="M7" s="38">
        <f t="shared" si="4"/>
        <v>82291696.769999951</v>
      </c>
      <c r="N7" s="38">
        <f t="shared" si="4"/>
        <v>79227082.659999982</v>
      </c>
      <c r="O7" s="38">
        <f t="shared" si="4"/>
        <v>119895943.2599999</v>
      </c>
      <c r="P7" s="38">
        <f t="shared" si="4"/>
        <v>143969407.82999992</v>
      </c>
      <c r="Q7" s="38">
        <f t="shared" si="8"/>
        <v>106346032.62999994</v>
      </c>
      <c r="R7" s="38">
        <f t="shared" si="9"/>
        <v>101093820.01499993</v>
      </c>
      <c r="S7" s="19"/>
      <c r="T7" s="36">
        <f t="shared" si="10"/>
        <v>0</v>
      </c>
      <c r="U7" s="36">
        <f t="shared" si="11"/>
        <v>0</v>
      </c>
      <c r="V7" s="36">
        <f t="shared" si="12"/>
        <v>0</v>
      </c>
      <c r="W7" s="36">
        <f t="shared" si="13"/>
        <v>0</v>
      </c>
      <c r="X7" s="36">
        <f t="shared" si="14"/>
        <v>0</v>
      </c>
      <c r="Y7" s="36">
        <f t="shared" si="15"/>
        <v>0</v>
      </c>
      <c r="Z7" s="25"/>
      <c r="AA7" s="39">
        <f t="shared" si="16"/>
        <v>3.9380833724664513E-2</v>
      </c>
      <c r="AB7" s="40">
        <f t="shared" si="17"/>
        <v>3.7246165707818968E-2</v>
      </c>
      <c r="AC7" s="40">
        <f t="shared" si="18"/>
        <v>5.2637189399278153E-2</v>
      </c>
      <c r="AD7" s="40">
        <f t="shared" si="19"/>
        <v>5.9485752835750132E-2</v>
      </c>
      <c r="AE7" s="40">
        <f t="shared" si="20"/>
        <v>4.7187485416877943E-2</v>
      </c>
      <c r="AF7" s="40">
        <f t="shared" si="21"/>
        <v>4.6009011561971333E-2</v>
      </c>
    </row>
    <row r="8" spans="1:32">
      <c r="C8" s="12" t="s">
        <v>5</v>
      </c>
      <c r="D8" s="36">
        <f t="shared" si="5"/>
        <v>0</v>
      </c>
      <c r="E8" s="37"/>
      <c r="F8" s="38">
        <f t="shared" si="0"/>
        <v>540618135.42000008</v>
      </c>
      <c r="G8" s="38">
        <f t="shared" si="1"/>
        <v>585305758.70000017</v>
      </c>
      <c r="H8" s="38">
        <f t="shared" si="2"/>
        <v>604898739.34999943</v>
      </c>
      <c r="I8" s="38">
        <f t="shared" si="3"/>
        <v>630003147.46000051</v>
      </c>
      <c r="J8" s="38">
        <f t="shared" si="6"/>
        <v>590206445.23250008</v>
      </c>
      <c r="K8" s="38">
        <f t="shared" si="7"/>
        <v>595102249.02499986</v>
      </c>
      <c r="L8" s="19"/>
      <c r="M8" s="38">
        <f t="shared" si="4"/>
        <v>540618135.42000008</v>
      </c>
      <c r="N8" s="38">
        <f t="shared" si="4"/>
        <v>585305758.70000017</v>
      </c>
      <c r="O8" s="38">
        <f t="shared" si="4"/>
        <v>604898739.34999943</v>
      </c>
      <c r="P8" s="38">
        <f t="shared" si="4"/>
        <v>630003147.46000051</v>
      </c>
      <c r="Q8" s="38">
        <f t="shared" si="8"/>
        <v>590206445.23250008</v>
      </c>
      <c r="R8" s="38">
        <f t="shared" si="9"/>
        <v>595102249.02499986</v>
      </c>
      <c r="S8" s="19"/>
      <c r="T8" s="36">
        <f t="shared" si="10"/>
        <v>0</v>
      </c>
      <c r="U8" s="36">
        <f t="shared" si="11"/>
        <v>0</v>
      </c>
      <c r="V8" s="36">
        <f t="shared" si="12"/>
        <v>0</v>
      </c>
      <c r="W8" s="36">
        <f t="shared" si="13"/>
        <v>0</v>
      </c>
      <c r="X8" s="36">
        <f t="shared" si="14"/>
        <v>0</v>
      </c>
      <c r="Y8" s="36">
        <f t="shared" si="15"/>
        <v>0</v>
      </c>
      <c r="Z8" s="25"/>
      <c r="AA8" s="39">
        <f t="shared" si="16"/>
        <v>0.25871374312547424</v>
      </c>
      <c r="AB8" s="40">
        <f t="shared" si="17"/>
        <v>0.27516342324298976</v>
      </c>
      <c r="AC8" s="40">
        <f t="shared" si="18"/>
        <v>0.26556502784671893</v>
      </c>
      <c r="AD8" s="40">
        <f t="shared" si="19"/>
        <v>0.26030676989240936</v>
      </c>
      <c r="AE8" s="40">
        <f t="shared" si="20"/>
        <v>0.26493724102689808</v>
      </c>
      <c r="AF8" s="40">
        <f t="shared" si="21"/>
        <v>0.26293589886956414</v>
      </c>
    </row>
    <row r="9" spans="1:32">
      <c r="C9" s="12" t="s">
        <v>18</v>
      </c>
      <c r="D9" s="36">
        <f t="shared" si="5"/>
        <v>0</v>
      </c>
      <c r="E9" s="37"/>
      <c r="F9" s="38">
        <f t="shared" si="0"/>
        <v>378796816.91000026</v>
      </c>
      <c r="G9" s="38">
        <f t="shared" si="1"/>
        <v>424908867.02000016</v>
      </c>
      <c r="H9" s="38">
        <f t="shared" si="2"/>
        <v>473694094.01999968</v>
      </c>
      <c r="I9" s="38">
        <f t="shared" si="3"/>
        <v>448466281.68000001</v>
      </c>
      <c r="J9" s="38">
        <f t="shared" si="6"/>
        <v>431466514.90750003</v>
      </c>
      <c r="K9" s="38">
        <f t="shared" si="7"/>
        <v>436687574.35000008</v>
      </c>
      <c r="L9" s="19"/>
      <c r="M9" s="38">
        <f t="shared" si="4"/>
        <v>378796816.91000026</v>
      </c>
      <c r="N9" s="38">
        <f t="shared" si="4"/>
        <v>424908867.02000016</v>
      </c>
      <c r="O9" s="38">
        <f t="shared" si="4"/>
        <v>473694094.01999968</v>
      </c>
      <c r="P9" s="38">
        <f t="shared" si="4"/>
        <v>448466281.68000001</v>
      </c>
      <c r="Q9" s="38">
        <f t="shared" si="8"/>
        <v>431466514.90750003</v>
      </c>
      <c r="R9" s="38">
        <f t="shared" si="9"/>
        <v>436687574.35000008</v>
      </c>
      <c r="S9" s="19"/>
      <c r="T9" s="36">
        <f t="shared" si="10"/>
        <v>0</v>
      </c>
      <c r="U9" s="36">
        <f t="shared" si="11"/>
        <v>0</v>
      </c>
      <c r="V9" s="36">
        <f t="shared" si="12"/>
        <v>0</v>
      </c>
      <c r="W9" s="36">
        <f t="shared" si="13"/>
        <v>0</v>
      </c>
      <c r="X9" s="36">
        <f t="shared" si="14"/>
        <v>0</v>
      </c>
      <c r="Y9" s="36">
        <f t="shared" si="15"/>
        <v>0</v>
      </c>
      <c r="Z9" s="25"/>
      <c r="AA9" s="39">
        <f t="shared" si="16"/>
        <v>0.1812738714558032</v>
      </c>
      <c r="AB9" s="40">
        <f t="shared" si="17"/>
        <v>0.19975777903707737</v>
      </c>
      <c r="AC9" s="40">
        <f t="shared" si="18"/>
        <v>0.20796304750845343</v>
      </c>
      <c r="AD9" s="40">
        <f t="shared" si="19"/>
        <v>0.18529877137985579</v>
      </c>
      <c r="AE9" s="40">
        <f t="shared" si="20"/>
        <v>0.19357336734529745</v>
      </c>
      <c r="AF9" s="40">
        <f t="shared" si="21"/>
        <v>0.19252827520846658</v>
      </c>
    </row>
    <row r="10" spans="1:32">
      <c r="C10" s="12" t="s">
        <v>6</v>
      </c>
      <c r="D10" s="36">
        <f t="shared" si="5"/>
        <v>1.0439300024364553</v>
      </c>
      <c r="E10" s="37"/>
      <c r="F10" s="38">
        <f t="shared" si="0"/>
        <v>777766078.72000003</v>
      </c>
      <c r="G10" s="38">
        <f t="shared" si="1"/>
        <v>762252755.84000003</v>
      </c>
      <c r="H10" s="38">
        <f t="shared" si="2"/>
        <v>1016473294.1600001</v>
      </c>
      <c r="I10" s="38">
        <f t="shared" si="3"/>
        <v>1013020258.4199998</v>
      </c>
      <c r="J10" s="38">
        <f t="shared" si="6"/>
        <v>892378096.78500009</v>
      </c>
      <c r="K10" s="38">
        <f t="shared" si="7"/>
        <v>895393168.56999993</v>
      </c>
      <c r="L10" s="19"/>
      <c r="M10" s="38">
        <f t="shared" si="4"/>
        <v>-19013131.100000024</v>
      </c>
      <c r="N10" s="38">
        <f t="shared" si="4"/>
        <v>-33655991.480000019</v>
      </c>
      <c r="O10" s="38">
        <f t="shared" si="4"/>
        <v>-60328666.209999934</v>
      </c>
      <c r="P10" s="38">
        <f t="shared" si="4"/>
        <v>-48391881.76000005</v>
      </c>
      <c r="Q10" s="38">
        <f t="shared" si="8"/>
        <v>-40347417.637500003</v>
      </c>
      <c r="R10" s="38">
        <f t="shared" si="9"/>
        <v>-41023936.620000035</v>
      </c>
      <c r="S10" s="19"/>
      <c r="T10" s="36">
        <f t="shared" si="10"/>
        <v>-1.024445821976822</v>
      </c>
      <c r="U10" s="36">
        <f t="shared" si="11"/>
        <v>-1.0441533221390735</v>
      </c>
      <c r="V10" s="36">
        <f t="shared" si="12"/>
        <v>-1.0593509603809659</v>
      </c>
      <c r="W10" s="36">
        <f t="shared" si="13"/>
        <v>-1.0477699052489597</v>
      </c>
      <c r="X10" s="36">
        <f t="shared" si="14"/>
        <v>-1.0439300024364553</v>
      </c>
      <c r="Y10" s="36">
        <f t="shared" si="15"/>
        <v>-1.0459616136940166</v>
      </c>
      <c r="Z10" s="25"/>
      <c r="AA10" s="39">
        <f t="shared" si="16"/>
        <v>-9.0987667507581652E-3</v>
      </c>
      <c r="AB10" s="40">
        <f t="shared" si="17"/>
        <v>-1.5822324811638148E-2</v>
      </c>
      <c r="AC10" s="40">
        <f t="shared" si="18"/>
        <v>-2.6485728734084953E-2</v>
      </c>
      <c r="AD10" s="40">
        <f t="shared" si="19"/>
        <v>-1.9994716662523965E-2</v>
      </c>
      <c r="AE10" s="40">
        <f t="shared" si="20"/>
        <v>-1.7850384239751306E-2</v>
      </c>
      <c r="AF10" s="40">
        <f t="shared" si="21"/>
        <v>-1.7908520737081057E-2</v>
      </c>
    </row>
    <row r="11" spans="1:32">
      <c r="C11" s="12" t="s">
        <v>48</v>
      </c>
      <c r="D11" s="36">
        <f t="shared" si="5"/>
        <v>1</v>
      </c>
      <c r="E11" s="37"/>
      <c r="F11" s="38">
        <f t="shared" si="0"/>
        <v>246521424.98999992</v>
      </c>
      <c r="G11" s="38">
        <f t="shared" si="1"/>
        <v>270561797.26000005</v>
      </c>
      <c r="H11" s="38">
        <f t="shared" si="2"/>
        <v>336371580.80000001</v>
      </c>
      <c r="I11" s="38">
        <f t="shared" si="3"/>
        <v>360914509.94</v>
      </c>
      <c r="J11" s="38">
        <f t="shared" si="6"/>
        <v>303592328.2475</v>
      </c>
      <c r="K11" s="38">
        <f t="shared" si="7"/>
        <v>303466689.03000003</v>
      </c>
      <c r="L11" s="19"/>
      <c r="M11" s="38">
        <f t="shared" si="4"/>
        <v>0</v>
      </c>
      <c r="N11" s="38">
        <f t="shared" si="4"/>
        <v>0</v>
      </c>
      <c r="O11" s="38">
        <f t="shared" si="4"/>
        <v>0</v>
      </c>
      <c r="P11" s="38">
        <f t="shared" si="4"/>
        <v>0</v>
      </c>
      <c r="Q11" s="38">
        <f t="shared" si="8"/>
        <v>0</v>
      </c>
      <c r="R11" s="38">
        <f t="shared" si="9"/>
        <v>0</v>
      </c>
      <c r="S11" s="19"/>
      <c r="T11" s="36">
        <f t="shared" si="10"/>
        <v>-1</v>
      </c>
      <c r="U11" s="36">
        <f t="shared" si="11"/>
        <v>-1</v>
      </c>
      <c r="V11" s="36">
        <f t="shared" si="12"/>
        <v>-1</v>
      </c>
      <c r="W11" s="36">
        <f t="shared" si="13"/>
        <v>-1</v>
      </c>
      <c r="X11" s="36">
        <f t="shared" si="14"/>
        <v>-1</v>
      </c>
      <c r="Y11" s="36">
        <f t="shared" si="15"/>
        <v>-1</v>
      </c>
      <c r="Z11" s="25"/>
      <c r="AA11" s="39">
        <f t="shared" si="16"/>
        <v>0</v>
      </c>
      <c r="AB11" s="40">
        <f t="shared" si="17"/>
        <v>0</v>
      </c>
      <c r="AC11" s="40">
        <f t="shared" si="18"/>
        <v>0</v>
      </c>
      <c r="AD11" s="40">
        <f t="shared" si="19"/>
        <v>0</v>
      </c>
      <c r="AE11" s="40">
        <f t="shared" si="20"/>
        <v>0</v>
      </c>
      <c r="AF11" s="40">
        <f t="shared" si="21"/>
        <v>0</v>
      </c>
    </row>
    <row r="12" spans="1:32">
      <c r="C12" s="41" t="s">
        <v>7</v>
      </c>
      <c r="D12" s="42">
        <f>-AVERAGE(T12:W12)</f>
        <v>0.37716636410360338</v>
      </c>
      <c r="E12" s="37"/>
      <c r="F12" s="43">
        <f>SUM(F5:F11)</f>
        <v>3232985887.5700006</v>
      </c>
      <c r="G12" s="43">
        <f t="shared" ref="G12:I12" si="22">SUM(G5:G11)</f>
        <v>3359307991.9600005</v>
      </c>
      <c r="H12" s="43">
        <f t="shared" si="22"/>
        <v>3801027329.749999</v>
      </c>
      <c r="I12" s="43">
        <f t="shared" si="22"/>
        <v>3951211767.9300008</v>
      </c>
      <c r="J12" s="43">
        <f>SUM(J5:J11)</f>
        <v>3586133244.3025002</v>
      </c>
      <c r="K12" s="43">
        <f>SUM(K5:K11)</f>
        <v>3570959552.355</v>
      </c>
      <c r="L12" s="20"/>
      <c r="M12" s="43">
        <f t="shared" ref="M12:R12" si="23">SUM(M5:M11)</f>
        <v>2089638257.6700006</v>
      </c>
      <c r="N12" s="43">
        <f t="shared" si="23"/>
        <v>2127120500.98</v>
      </c>
      <c r="O12" s="43">
        <f t="shared" si="23"/>
        <v>2277780113.7999992</v>
      </c>
      <c r="P12" s="43">
        <f t="shared" si="23"/>
        <v>2420233433.5000005</v>
      </c>
      <c r="Q12" s="43">
        <f t="shared" si="23"/>
        <v>2228693076.4875002</v>
      </c>
      <c r="R12" s="43">
        <f t="shared" si="23"/>
        <v>2209740530.3849998</v>
      </c>
      <c r="S12" s="20"/>
      <c r="T12" s="42">
        <f t="shared" si="10"/>
        <v>-0.35365067144149243</v>
      </c>
      <c r="U12" s="42">
        <f>+N12/G12-1</f>
        <v>-0.36679801135503398</v>
      </c>
      <c r="V12" s="42">
        <f>+O12/H12-1</f>
        <v>-0.40074618880737878</v>
      </c>
      <c r="W12" s="42">
        <f t="shared" si="13"/>
        <v>-0.38747058481050844</v>
      </c>
      <c r="X12" s="42">
        <f>AVERAGE(T12:W12)</f>
        <v>-0.37716636410360338</v>
      </c>
      <c r="Y12" s="42">
        <f t="shared" si="15"/>
        <v>-0.37713429808277121</v>
      </c>
      <c r="Z12" s="44"/>
      <c r="AA12" s="49">
        <f t="shared" ref="AA12:AF12" si="24">SUM(AA5:AA11)</f>
        <v>0.99999999999999989</v>
      </c>
      <c r="AB12" s="49">
        <f t="shared" si="24"/>
        <v>0.99999999999999989</v>
      </c>
      <c r="AC12" s="49">
        <f t="shared" si="24"/>
        <v>1</v>
      </c>
      <c r="AD12" s="49">
        <f t="shared" si="24"/>
        <v>0.99999999999999989</v>
      </c>
      <c r="AE12" s="49">
        <f t="shared" si="24"/>
        <v>1</v>
      </c>
      <c r="AF12" s="49">
        <f t="shared" si="24"/>
        <v>0.99589541228789491</v>
      </c>
    </row>
    <row r="13" spans="1:32">
      <c r="C13" s="15"/>
      <c r="D13" s="45"/>
      <c r="E13" s="144"/>
      <c r="F13" s="145"/>
      <c r="G13" s="145"/>
      <c r="H13" s="145"/>
      <c r="I13" s="145"/>
      <c r="J13" s="145"/>
      <c r="K13" s="145"/>
      <c r="L13" s="20"/>
      <c r="M13" s="20"/>
      <c r="N13" s="20"/>
      <c r="O13" s="20"/>
      <c r="P13" s="20"/>
      <c r="T13" s="46"/>
      <c r="U13" s="46"/>
      <c r="V13" s="46"/>
      <c r="W13" s="46"/>
      <c r="Z13" s="46"/>
      <c r="AA13" s="46"/>
      <c r="AB13" s="46"/>
    </row>
    <row r="14" spans="1:32">
      <c r="E14" s="144"/>
      <c r="F14" s="146"/>
      <c r="G14" s="146"/>
      <c r="H14" s="146"/>
      <c r="I14" s="146"/>
      <c r="J14" s="146"/>
      <c r="K14" s="146"/>
      <c r="L14" s="19"/>
      <c r="M14" s="19"/>
      <c r="N14" s="19"/>
      <c r="O14" s="19"/>
      <c r="P14" s="19"/>
    </row>
    <row r="15" spans="1:32">
      <c r="F15" s="47">
        <v>2017</v>
      </c>
      <c r="G15" s="47">
        <v>2018</v>
      </c>
      <c r="H15" s="47">
        <v>2019</v>
      </c>
      <c r="I15" s="47">
        <v>2020</v>
      </c>
      <c r="J15" s="146"/>
      <c r="K15" s="146"/>
      <c r="L15" s="19"/>
    </row>
    <row r="16" spans="1:32">
      <c r="E16" s="48" t="s">
        <v>41</v>
      </c>
      <c r="F16" s="47">
        <v>1.1359878999999999</v>
      </c>
      <c r="G16" s="47">
        <v>1.0918143</v>
      </c>
      <c r="H16" s="47">
        <v>1.0571929</v>
      </c>
      <c r="I16" s="47">
        <v>1</v>
      </c>
      <c r="J16" s="146"/>
      <c r="K16" s="146"/>
      <c r="L16" s="19"/>
    </row>
    <row r="17" spans="3:41">
      <c r="F17" s="19"/>
      <c r="G17" s="19"/>
      <c r="H17" s="19"/>
      <c r="I17" s="19"/>
      <c r="M17" s="19"/>
      <c r="N17" s="19"/>
      <c r="P17" s="19"/>
      <c r="T17" s="15"/>
      <c r="U17" s="16"/>
      <c r="V17" s="16"/>
      <c r="W17" s="16"/>
    </row>
    <row r="18" spans="3:41">
      <c r="F18" s="19"/>
      <c r="G18" s="19"/>
      <c r="H18" s="19"/>
      <c r="I18" s="19"/>
      <c r="P18" s="19"/>
      <c r="T18" s="15"/>
      <c r="U18" s="16"/>
      <c r="V18" s="16"/>
      <c r="W18" s="16"/>
    </row>
    <row r="19" spans="3:41">
      <c r="C19" s="388" t="s">
        <v>42</v>
      </c>
      <c r="D19" s="388"/>
      <c r="F19" s="31" t="s">
        <v>255</v>
      </c>
      <c r="G19" s="31"/>
      <c r="H19" s="31"/>
      <c r="I19" s="31"/>
      <c r="M19" s="15" t="s">
        <v>254</v>
      </c>
      <c r="P19" s="31"/>
      <c r="T19" s="31" t="s">
        <v>45</v>
      </c>
      <c r="U19" s="31"/>
      <c r="V19" s="31"/>
      <c r="W19" s="31"/>
      <c r="AA19" s="31" t="s">
        <v>46</v>
      </c>
      <c r="AB19" s="31"/>
      <c r="AC19" s="31"/>
      <c r="AD19" s="31"/>
    </row>
    <row r="20" spans="3:41" ht="43.9" customHeight="1">
      <c r="C20" s="32"/>
      <c r="D20" s="33" t="s">
        <v>278</v>
      </c>
      <c r="F20" s="33">
        <v>2017</v>
      </c>
      <c r="G20" s="33">
        <v>2018</v>
      </c>
      <c r="H20" s="33">
        <v>2019</v>
      </c>
      <c r="I20" s="33">
        <v>2020</v>
      </c>
      <c r="J20" s="33" t="s">
        <v>47</v>
      </c>
      <c r="K20" s="33" t="s">
        <v>253</v>
      </c>
      <c r="L20" s="35"/>
      <c r="M20" s="33">
        <v>2017</v>
      </c>
      <c r="N20" s="33">
        <v>2018</v>
      </c>
      <c r="O20" s="33">
        <v>2019</v>
      </c>
      <c r="P20" s="33">
        <v>2020</v>
      </c>
      <c r="Q20" s="33" t="s">
        <v>47</v>
      </c>
      <c r="R20" s="33" t="s">
        <v>253</v>
      </c>
      <c r="S20" s="35"/>
      <c r="T20" s="33">
        <v>2017</v>
      </c>
      <c r="U20" s="33">
        <v>2018</v>
      </c>
      <c r="V20" s="33">
        <v>2019</v>
      </c>
      <c r="W20" s="33">
        <v>2020</v>
      </c>
      <c r="X20" s="33" t="s">
        <v>47</v>
      </c>
      <c r="Y20" s="33" t="s">
        <v>253</v>
      </c>
      <c r="Z20" s="35"/>
      <c r="AA20" s="33">
        <v>2017</v>
      </c>
      <c r="AB20" s="33">
        <v>2018</v>
      </c>
      <c r="AC20" s="33">
        <v>2019</v>
      </c>
      <c r="AD20" s="33">
        <v>2020</v>
      </c>
      <c r="AE20" s="33" t="s">
        <v>47</v>
      </c>
      <c r="AF20" s="33" t="s">
        <v>253</v>
      </c>
    </row>
    <row r="21" spans="3:41">
      <c r="C21" s="12" t="s">
        <v>2</v>
      </c>
      <c r="D21" s="36">
        <f>-AVERAGE(T21:W21)</f>
        <v>0.10238598951372632</v>
      </c>
      <c r="F21" s="38">
        <f t="shared" ref="F21:H27" si="25">+F5*F$16</f>
        <v>1286610011.7068779</v>
      </c>
      <c r="G21" s="38">
        <f t="shared" si="25"/>
        <v>1272117698.0986791</v>
      </c>
      <c r="H21" s="38">
        <f t="shared" si="25"/>
        <v>1233722903.6696963</v>
      </c>
      <c r="I21" s="38">
        <f>I5</f>
        <v>1283438029.4000001</v>
      </c>
      <c r="J21" s="38">
        <f>AVERAGE(F21:I21)</f>
        <v>1268972160.7188134</v>
      </c>
      <c r="K21" s="38">
        <f>MEDIAN(F21:I21)</f>
        <v>1277777863.7493396</v>
      </c>
      <c r="L21" s="19"/>
      <c r="M21" s="38">
        <f t="shared" ref="M21:P27" si="26">SUMIF($B$37:$B$178,$C5,CD$37:CD$178)</f>
        <v>1172957835.8532784</v>
      </c>
      <c r="N21" s="38">
        <f t="shared" si="26"/>
        <v>1091185566.2668254</v>
      </c>
      <c r="O21" s="38">
        <f t="shared" si="26"/>
        <v>1117353796.2153711</v>
      </c>
      <c r="P21" s="38">
        <f t="shared" si="26"/>
        <v>1174786345.0900002</v>
      </c>
      <c r="Q21" s="38">
        <f>AVERAGE(M21:P21)</f>
        <v>1139070885.8563688</v>
      </c>
      <c r="R21" s="38">
        <f>MEDIAN(M21:P21)</f>
        <v>1145155816.0343246</v>
      </c>
      <c r="S21" s="19"/>
      <c r="T21" s="36">
        <f>+M21/F21-1</f>
        <v>-8.8334596202017113E-2</v>
      </c>
      <c r="U21" s="36">
        <f>+N21/G21-1</f>
        <v>-0.14222908155611447</v>
      </c>
      <c r="V21" s="36">
        <f>+O21/H21-1</f>
        <v>-9.4323536596578106E-2</v>
      </c>
      <c r="W21" s="36">
        <f>+P21/I21-1</f>
        <v>-8.4656743700195602E-2</v>
      </c>
      <c r="X21" s="36">
        <f>AVERAGE(T21:W21)</f>
        <v>-0.10238598951372632</v>
      </c>
      <c r="Y21" s="36">
        <f>MEDIAN(T21:W21)</f>
        <v>-9.1329066399297609E-2</v>
      </c>
      <c r="Z21" s="25"/>
      <c r="AA21" s="39">
        <f>M21/M$28</f>
        <v>0.49412586148346715</v>
      </c>
      <c r="AB21" s="40">
        <f>N21/N$28</f>
        <v>0.4698483880530267</v>
      </c>
      <c r="AC21" s="40">
        <f>O21/O$28</f>
        <v>0.46400715137370002</v>
      </c>
      <c r="AD21" s="40">
        <f>P21/P$28</f>
        <v>0.48540208098484644</v>
      </c>
      <c r="AE21" s="40">
        <f>AVERAGE(AA21:AD21)</f>
        <v>0.47834587047376009</v>
      </c>
      <c r="AF21" s="40">
        <f>MEDIAN(AA21:AD21)</f>
        <v>0.47762523451893657</v>
      </c>
    </row>
    <row r="22" spans="3:41">
      <c r="C22" s="12" t="s">
        <v>3</v>
      </c>
      <c r="D22" s="36">
        <f t="shared" ref="D22:D27" si="27">-AVERAGE(T22:W22)</f>
        <v>0</v>
      </c>
      <c r="F22" s="38">
        <f t="shared" si="25"/>
        <v>84517994.380491525</v>
      </c>
      <c r="G22" s="38">
        <f t="shared" si="25"/>
        <v>78513071.079130664</v>
      </c>
      <c r="H22" s="38">
        <f t="shared" si="25"/>
        <v>87444380.055940598</v>
      </c>
      <c r="I22" s="38">
        <f t="shared" ref="I22:I27" si="28">I6</f>
        <v>71400133.199999988</v>
      </c>
      <c r="J22" s="38">
        <f t="shared" ref="J22:J27" si="29">AVERAGE(F22:I22)</f>
        <v>80468894.678890705</v>
      </c>
      <c r="K22" s="38">
        <f t="shared" ref="K22:K27" si="30">MEDIAN(F22:I22)</f>
        <v>81515532.729811102</v>
      </c>
      <c r="L22" s="19"/>
      <c r="M22" s="38">
        <f t="shared" si="26"/>
        <v>84517994.380491525</v>
      </c>
      <c r="N22" s="38">
        <f t="shared" si="26"/>
        <v>78513071.07913065</v>
      </c>
      <c r="O22" s="38">
        <f t="shared" si="26"/>
        <v>87444380.055940628</v>
      </c>
      <c r="P22" s="38">
        <f t="shared" si="26"/>
        <v>71400133.199999988</v>
      </c>
      <c r="Q22" s="38">
        <f t="shared" ref="Q22:Q27" si="31">AVERAGE(M22:P22)</f>
        <v>80468894.678890705</v>
      </c>
      <c r="R22" s="38">
        <f t="shared" ref="R22:R27" si="32">MEDIAN(M22:P22)</f>
        <v>81515532.729811087</v>
      </c>
      <c r="S22" s="19"/>
      <c r="T22" s="36">
        <f t="shared" ref="T22:T27" si="33">+M22/F22-1</f>
        <v>0</v>
      </c>
      <c r="U22" s="36">
        <f t="shared" ref="U22:U27" si="34">+N22/G22-1</f>
        <v>0</v>
      </c>
      <c r="V22" s="36">
        <f t="shared" ref="V22:V27" si="35">+O22/H22-1</f>
        <v>0</v>
      </c>
      <c r="W22" s="36">
        <f t="shared" ref="W22:W27" si="36">+P22/I22-1</f>
        <v>0</v>
      </c>
      <c r="X22" s="36">
        <f t="shared" ref="X22:X27" si="37">AVERAGE(T22:W22)</f>
        <v>0</v>
      </c>
      <c r="Y22" s="36">
        <f t="shared" ref="Y22:Y27" si="38">MEDIAN(T22:W22)</f>
        <v>0</v>
      </c>
      <c r="Z22" s="25"/>
      <c r="AA22" s="39">
        <f t="shared" ref="AA22:AA27" si="39">M22/M$28</f>
        <v>3.5604456961349083E-2</v>
      </c>
      <c r="AB22" s="40">
        <f t="shared" ref="AB22:AB27" si="40">N22/N$28</f>
        <v>3.3806568770725284E-2</v>
      </c>
      <c r="AC22" s="40">
        <f t="shared" ref="AC22:AC27" si="41">O22/O$28</f>
        <v>3.6313312605934317E-2</v>
      </c>
      <c r="AD22" s="40">
        <f t="shared" ref="AD22:AD27" si="42">P22/P$28</f>
        <v>2.9501341569662262E-2</v>
      </c>
      <c r="AE22" s="40">
        <f t="shared" ref="AE22:AE27" si="43">AVERAGE(AA22:AD22)</f>
        <v>3.3806419976917731E-2</v>
      </c>
      <c r="AF22" s="40">
        <f t="shared" ref="AF22:AF27" si="44">MEDIAN(AA22:AD22)</f>
        <v>3.470551286603718E-2</v>
      </c>
    </row>
    <row r="23" spans="3:41">
      <c r="C23" s="12" t="s">
        <v>4</v>
      </c>
      <c r="D23" s="36">
        <f t="shared" si="27"/>
        <v>0</v>
      </c>
      <c r="F23" s="38">
        <f t="shared" si="25"/>
        <v>93482371.80118902</v>
      </c>
      <c r="G23" s="38">
        <f t="shared" si="25"/>
        <v>86501261.795470014</v>
      </c>
      <c r="H23" s="38">
        <f t="shared" si="25"/>
        <v>126753139.95327474</v>
      </c>
      <c r="I23" s="38">
        <f t="shared" si="28"/>
        <v>143969407.82999992</v>
      </c>
      <c r="J23" s="38">
        <f t="shared" si="29"/>
        <v>112676545.34498343</v>
      </c>
      <c r="K23" s="38">
        <f t="shared" si="30"/>
        <v>110117755.87723188</v>
      </c>
      <c r="L23" s="19"/>
      <c r="M23" s="38">
        <f t="shared" si="26"/>
        <v>93482371.80118902</v>
      </c>
      <c r="N23" s="38">
        <f t="shared" si="26"/>
        <v>86501261.795470014</v>
      </c>
      <c r="O23" s="38">
        <f t="shared" si="26"/>
        <v>126753139.95327474</v>
      </c>
      <c r="P23" s="38">
        <f t="shared" si="26"/>
        <v>143969407.82999992</v>
      </c>
      <c r="Q23" s="38">
        <f t="shared" si="31"/>
        <v>112676545.34498343</v>
      </c>
      <c r="R23" s="38">
        <f t="shared" si="32"/>
        <v>110117755.87723188</v>
      </c>
      <c r="S23" s="19"/>
      <c r="T23" s="36">
        <f t="shared" si="33"/>
        <v>0</v>
      </c>
      <c r="U23" s="36">
        <f t="shared" si="34"/>
        <v>0</v>
      </c>
      <c r="V23" s="36">
        <f t="shared" si="35"/>
        <v>0</v>
      </c>
      <c r="W23" s="36">
        <f t="shared" si="36"/>
        <v>0</v>
      </c>
      <c r="X23" s="36">
        <f t="shared" si="37"/>
        <v>0</v>
      </c>
      <c r="Y23" s="36">
        <f t="shared" si="38"/>
        <v>0</v>
      </c>
      <c r="Z23" s="25"/>
      <c r="AA23" s="39">
        <f t="shared" si="39"/>
        <v>3.9380833724664527E-2</v>
      </c>
      <c r="AB23" s="40">
        <f t="shared" si="40"/>
        <v>3.7246165707818961E-2</v>
      </c>
      <c r="AC23" s="40">
        <f t="shared" si="41"/>
        <v>5.2637189399278153E-2</v>
      </c>
      <c r="AD23" s="40">
        <f t="shared" si="42"/>
        <v>5.9485752835750132E-2</v>
      </c>
      <c r="AE23" s="40">
        <f t="shared" si="43"/>
        <v>4.718748541687795E-2</v>
      </c>
      <c r="AF23" s="40">
        <f t="shared" si="44"/>
        <v>4.600901156197134E-2</v>
      </c>
    </row>
    <row r="24" spans="3:41">
      <c r="C24" s="12" t="s">
        <v>5</v>
      </c>
      <c r="D24" s="36">
        <f t="shared" si="27"/>
        <v>0</v>
      </c>
      <c r="F24" s="38">
        <f t="shared" si="25"/>
        <v>614135660.35768151</v>
      </c>
      <c r="G24" s="38">
        <f t="shared" si="25"/>
        <v>639045197.22100961</v>
      </c>
      <c r="H24" s="38">
        <f t="shared" si="25"/>
        <v>639494652.45976996</v>
      </c>
      <c r="I24" s="38">
        <f t="shared" si="28"/>
        <v>630003147.46000051</v>
      </c>
      <c r="J24" s="38">
        <f t="shared" si="29"/>
        <v>630669664.37461543</v>
      </c>
      <c r="K24" s="38">
        <f t="shared" si="30"/>
        <v>634524172.34050512</v>
      </c>
      <c r="L24" s="19"/>
      <c r="M24" s="38">
        <f t="shared" si="26"/>
        <v>614135660.35768127</v>
      </c>
      <c r="N24" s="38">
        <f t="shared" si="26"/>
        <v>639045197.22100973</v>
      </c>
      <c r="O24" s="38">
        <f t="shared" si="26"/>
        <v>639494652.4597702</v>
      </c>
      <c r="P24" s="38">
        <f t="shared" si="26"/>
        <v>630003147.46000051</v>
      </c>
      <c r="Q24" s="38">
        <f t="shared" si="31"/>
        <v>630669664.37461543</v>
      </c>
      <c r="R24" s="38">
        <f t="shared" si="32"/>
        <v>634524172.34050512</v>
      </c>
      <c r="S24" s="19"/>
      <c r="T24" s="36">
        <f t="shared" si="33"/>
        <v>0</v>
      </c>
      <c r="U24" s="36">
        <f t="shared" si="34"/>
        <v>0</v>
      </c>
      <c r="V24" s="36">
        <f t="shared" si="35"/>
        <v>0</v>
      </c>
      <c r="W24" s="36">
        <f t="shared" si="36"/>
        <v>0</v>
      </c>
      <c r="X24" s="36">
        <f t="shared" si="37"/>
        <v>0</v>
      </c>
      <c r="Y24" s="36">
        <f t="shared" si="38"/>
        <v>0</v>
      </c>
      <c r="Z24" s="25"/>
      <c r="AA24" s="39">
        <f t="shared" si="39"/>
        <v>0.25871374312547424</v>
      </c>
      <c r="AB24" s="40">
        <f t="shared" si="40"/>
        <v>0.27516342324298976</v>
      </c>
      <c r="AC24" s="40">
        <f t="shared" si="41"/>
        <v>0.26556502784671904</v>
      </c>
      <c r="AD24" s="40">
        <f t="shared" si="42"/>
        <v>0.26030676989240936</v>
      </c>
      <c r="AE24" s="40">
        <f t="shared" si="43"/>
        <v>0.26493724102689808</v>
      </c>
      <c r="AF24" s="40">
        <f t="shared" si="44"/>
        <v>0.2629358988695642</v>
      </c>
    </row>
    <row r="25" spans="3:41">
      <c r="C25" s="12" t="s">
        <v>18</v>
      </c>
      <c r="D25" s="36">
        <f t="shared" si="27"/>
        <v>0</v>
      </c>
      <c r="F25" s="38">
        <f t="shared" si="25"/>
        <v>430308600.56827569</v>
      </c>
      <c r="G25" s="38">
        <f t="shared" si="25"/>
        <v>463921577.2092346</v>
      </c>
      <c r="H25" s="38">
        <f t="shared" si="25"/>
        <v>500786032.96987611</v>
      </c>
      <c r="I25" s="38">
        <f t="shared" si="28"/>
        <v>448466281.68000001</v>
      </c>
      <c r="J25" s="38">
        <f t="shared" si="29"/>
        <v>460870623.10684663</v>
      </c>
      <c r="K25" s="38">
        <f t="shared" si="30"/>
        <v>456193929.44461727</v>
      </c>
      <c r="L25" s="19"/>
      <c r="M25" s="38">
        <f t="shared" si="26"/>
        <v>430308600.56827569</v>
      </c>
      <c r="N25" s="38">
        <f t="shared" si="26"/>
        <v>463921577.2092346</v>
      </c>
      <c r="O25" s="38">
        <f t="shared" si="26"/>
        <v>500786032.96987611</v>
      </c>
      <c r="P25" s="38">
        <f t="shared" si="26"/>
        <v>448466281.68000001</v>
      </c>
      <c r="Q25" s="38">
        <f t="shared" si="31"/>
        <v>460870623.10684663</v>
      </c>
      <c r="R25" s="38">
        <f t="shared" si="32"/>
        <v>456193929.44461727</v>
      </c>
      <c r="S25" s="19"/>
      <c r="T25" s="36">
        <f t="shared" si="33"/>
        <v>0</v>
      </c>
      <c r="U25" s="36">
        <f t="shared" si="34"/>
        <v>0</v>
      </c>
      <c r="V25" s="36">
        <f t="shared" si="35"/>
        <v>0</v>
      </c>
      <c r="W25" s="36">
        <f t="shared" si="36"/>
        <v>0</v>
      </c>
      <c r="X25" s="36">
        <f t="shared" si="37"/>
        <v>0</v>
      </c>
      <c r="Y25" s="36">
        <f t="shared" si="38"/>
        <v>0</v>
      </c>
      <c r="Z25" s="25"/>
      <c r="AA25" s="39">
        <f t="shared" si="39"/>
        <v>0.18127387145580329</v>
      </c>
      <c r="AB25" s="40">
        <f t="shared" si="40"/>
        <v>0.19975777903707734</v>
      </c>
      <c r="AC25" s="40">
        <f t="shared" si="41"/>
        <v>0.20796304750845343</v>
      </c>
      <c r="AD25" s="40">
        <f t="shared" si="42"/>
        <v>0.18529877137985579</v>
      </c>
      <c r="AE25" s="40">
        <f t="shared" si="43"/>
        <v>0.19357336734529745</v>
      </c>
      <c r="AF25" s="40">
        <f t="shared" si="44"/>
        <v>0.19252827520846655</v>
      </c>
    </row>
    <row r="26" spans="3:41">
      <c r="C26" s="12" t="s">
        <v>6</v>
      </c>
      <c r="D26" s="36">
        <f t="shared" si="27"/>
        <v>1.0439300024364553</v>
      </c>
      <c r="F26" s="38">
        <f t="shared" si="25"/>
        <v>883532854.45636749</v>
      </c>
      <c r="G26" s="38">
        <f t="shared" si="25"/>
        <v>832238459.04052055</v>
      </c>
      <c r="H26" s="38">
        <f t="shared" si="25"/>
        <v>1074608349.6255636</v>
      </c>
      <c r="I26" s="38">
        <f t="shared" si="28"/>
        <v>1013020258.4199998</v>
      </c>
      <c r="J26" s="38">
        <f t="shared" si="29"/>
        <v>950849980.38561296</v>
      </c>
      <c r="K26" s="38">
        <f t="shared" si="30"/>
        <v>948276556.43818367</v>
      </c>
      <c r="L26" s="19"/>
      <c r="M26" s="38">
        <f t="shared" si="26"/>
        <v>-21598686.870713741</v>
      </c>
      <c r="N26" s="38">
        <f t="shared" si="26"/>
        <v>-36746092.778542161</v>
      </c>
      <c r="O26" s="38">
        <f t="shared" si="26"/>
        <v>-63779037.583682001</v>
      </c>
      <c r="P26" s="38">
        <f t="shared" si="26"/>
        <v>-48391881.76000005</v>
      </c>
      <c r="Q26" s="38">
        <f t="shared" si="31"/>
        <v>-42628924.748234488</v>
      </c>
      <c r="R26" s="38">
        <f t="shared" si="32"/>
        <v>-42568987.269271106</v>
      </c>
      <c r="S26" s="19"/>
      <c r="T26" s="36">
        <f t="shared" si="33"/>
        <v>-1.024445821976822</v>
      </c>
      <c r="U26" s="36">
        <f t="shared" si="34"/>
        <v>-1.0441533221390733</v>
      </c>
      <c r="V26" s="36">
        <f t="shared" si="35"/>
        <v>-1.0593509603809659</v>
      </c>
      <c r="W26" s="36">
        <f t="shared" si="36"/>
        <v>-1.0477699052489597</v>
      </c>
      <c r="X26" s="36">
        <f t="shared" si="37"/>
        <v>-1.0439300024364553</v>
      </c>
      <c r="Y26" s="36">
        <f t="shared" si="38"/>
        <v>-1.0459616136940166</v>
      </c>
      <c r="Z26" s="25"/>
      <c r="AA26" s="39">
        <f t="shared" si="39"/>
        <v>-9.098766750758179E-3</v>
      </c>
      <c r="AB26" s="40">
        <f t="shared" si="40"/>
        <v>-1.5822324811638134E-2</v>
      </c>
      <c r="AC26" s="40">
        <f t="shared" si="41"/>
        <v>-2.6485728734085022E-2</v>
      </c>
      <c r="AD26" s="40">
        <f t="shared" si="42"/>
        <v>-1.9994716662523965E-2</v>
      </c>
      <c r="AE26" s="40">
        <f t="shared" si="43"/>
        <v>-1.7850384239751323E-2</v>
      </c>
      <c r="AF26" s="40">
        <f t="shared" si="44"/>
        <v>-1.790852073708105E-2</v>
      </c>
    </row>
    <row r="27" spans="3:41">
      <c r="C27" s="12" t="s">
        <v>48</v>
      </c>
      <c r="D27" s="36">
        <f t="shared" si="27"/>
        <v>1</v>
      </c>
      <c r="F27" s="38">
        <f t="shared" si="25"/>
        <v>280045355.87939751</v>
      </c>
      <c r="G27" s="38">
        <f t="shared" si="25"/>
        <v>295403239.28216887</v>
      </c>
      <c r="H27" s="38">
        <f t="shared" si="25"/>
        <v>355609646.9835363</v>
      </c>
      <c r="I27" s="38">
        <f t="shared" si="28"/>
        <v>360914509.94</v>
      </c>
      <c r="J27" s="38">
        <f t="shared" si="29"/>
        <v>322993188.0212757</v>
      </c>
      <c r="K27" s="38">
        <f t="shared" si="30"/>
        <v>325506443.13285255</v>
      </c>
      <c r="L27" s="19"/>
      <c r="M27" s="38">
        <f t="shared" si="26"/>
        <v>0</v>
      </c>
      <c r="N27" s="38">
        <f t="shared" si="26"/>
        <v>0</v>
      </c>
      <c r="O27" s="38">
        <f t="shared" si="26"/>
        <v>0</v>
      </c>
      <c r="P27" s="38">
        <f t="shared" si="26"/>
        <v>0</v>
      </c>
      <c r="Q27" s="38">
        <f t="shared" si="31"/>
        <v>0</v>
      </c>
      <c r="R27" s="38">
        <f t="shared" si="32"/>
        <v>0</v>
      </c>
      <c r="S27" s="19"/>
      <c r="T27" s="36">
        <f t="shared" si="33"/>
        <v>-1</v>
      </c>
      <c r="U27" s="36">
        <f t="shared" si="34"/>
        <v>-1</v>
      </c>
      <c r="V27" s="36">
        <f t="shared" si="35"/>
        <v>-1</v>
      </c>
      <c r="W27" s="36">
        <f t="shared" si="36"/>
        <v>-1</v>
      </c>
      <c r="X27" s="36">
        <f t="shared" si="37"/>
        <v>-1</v>
      </c>
      <c r="Y27" s="36">
        <f t="shared" si="38"/>
        <v>-1</v>
      </c>
      <c r="Z27" s="25"/>
      <c r="AA27" s="39">
        <f t="shared" si="39"/>
        <v>0</v>
      </c>
      <c r="AB27" s="40">
        <f t="shared" si="40"/>
        <v>0</v>
      </c>
      <c r="AC27" s="40">
        <f t="shared" si="41"/>
        <v>0</v>
      </c>
      <c r="AD27" s="40">
        <f t="shared" si="42"/>
        <v>0</v>
      </c>
      <c r="AE27" s="40">
        <f t="shared" si="43"/>
        <v>0</v>
      </c>
      <c r="AF27" s="40">
        <f t="shared" si="44"/>
        <v>0</v>
      </c>
    </row>
    <row r="28" spans="3:41">
      <c r="C28" s="41" t="s">
        <v>7</v>
      </c>
      <c r="D28" s="42">
        <f>-AVERAGE(T28:W28)</f>
        <v>0.37716636410360338</v>
      </c>
      <c r="F28" s="43">
        <f t="shared" ref="F28:K28" si="45">SUM(F21:F27)</f>
        <v>3672632849.1502805</v>
      </c>
      <c r="G28" s="43">
        <f t="shared" si="45"/>
        <v>3667740503.7262135</v>
      </c>
      <c r="H28" s="43">
        <f t="shared" si="45"/>
        <v>4018419105.7176576</v>
      </c>
      <c r="I28" s="43">
        <f t="shared" si="45"/>
        <v>3951211767.9300008</v>
      </c>
      <c r="J28" s="43">
        <f t="shared" si="45"/>
        <v>3827501056.6310382</v>
      </c>
      <c r="K28" s="43">
        <f t="shared" si="45"/>
        <v>3833912253.7125416</v>
      </c>
      <c r="L28" s="20"/>
      <c r="M28" s="43">
        <f>SUM(M21:M27)</f>
        <v>2373803776.0902019</v>
      </c>
      <c r="N28" s="43">
        <f t="shared" ref="N28:R28" si="46">SUM(N21:N27)</f>
        <v>2322420580.7931285</v>
      </c>
      <c r="O28" s="43">
        <f t="shared" si="46"/>
        <v>2408052964.0705509</v>
      </c>
      <c r="P28" s="43">
        <f t="shared" si="46"/>
        <v>2420233433.5000005</v>
      </c>
      <c r="Q28" s="43">
        <f t="shared" si="46"/>
        <v>2381127688.6134706</v>
      </c>
      <c r="R28" s="43">
        <f t="shared" si="46"/>
        <v>2384938219.1572189</v>
      </c>
      <c r="S28" s="20"/>
      <c r="T28" s="42">
        <f>+M28/F28-1</f>
        <v>-0.35365067144149254</v>
      </c>
      <c r="U28" s="42">
        <f>+N28/G28-1</f>
        <v>-0.36679801135503376</v>
      </c>
      <c r="V28" s="42">
        <f>+O28/H28-1</f>
        <v>-0.40074618880737878</v>
      </c>
      <c r="W28" s="42">
        <f>+P28/I28-1</f>
        <v>-0.38747058481050844</v>
      </c>
      <c r="X28" s="42">
        <f t="shared" ref="X28" si="47">AVERAGE(T28:W28)</f>
        <v>-0.37716636410360338</v>
      </c>
      <c r="Y28" s="42">
        <f t="shared" ref="Y28" si="48">MEDIAN(T28:W28)</f>
        <v>-0.3771342980827711</v>
      </c>
      <c r="Z28" s="44"/>
      <c r="AA28" s="49">
        <f t="shared" ref="AA28:AF28" si="49">SUM(AA21:AA27)</f>
        <v>1</v>
      </c>
      <c r="AB28" s="49">
        <f t="shared" si="49"/>
        <v>0.99999999999999967</v>
      </c>
      <c r="AC28" s="49">
        <f t="shared" si="49"/>
        <v>1.0000000000000002</v>
      </c>
      <c r="AD28" s="49">
        <f t="shared" si="49"/>
        <v>0.99999999999999989</v>
      </c>
      <c r="AE28" s="49">
        <f t="shared" si="49"/>
        <v>1</v>
      </c>
      <c r="AF28" s="49">
        <f t="shared" si="49"/>
        <v>0.99589541228789469</v>
      </c>
    </row>
    <row r="29" spans="3:41"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L29" s="15"/>
      <c r="AM29" s="16"/>
      <c r="AN29" s="16"/>
      <c r="AO29" s="16"/>
    </row>
    <row r="30" spans="3:41"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F30" s="50"/>
      <c r="AL30" s="15"/>
      <c r="AM30" s="16"/>
      <c r="AN30" s="16"/>
      <c r="AO30" s="16"/>
    </row>
    <row r="31" spans="3:41"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L31" s="15"/>
      <c r="AM31" s="16"/>
      <c r="AN31" s="16"/>
      <c r="AO31" s="16"/>
    </row>
    <row r="32" spans="3:41">
      <c r="E32" s="251"/>
    </row>
    <row r="33" spans="1:102">
      <c r="E33" s="129" t="s">
        <v>43</v>
      </c>
      <c r="M33" s="129"/>
      <c r="P33" s="129"/>
      <c r="Q33" s="129"/>
      <c r="R33" s="129"/>
      <c r="S33" s="129"/>
      <c r="T33" s="129"/>
      <c r="U33" s="129"/>
      <c r="X33" s="129"/>
      <c r="Y33" s="129"/>
      <c r="Z33" s="129"/>
      <c r="AA33" s="129"/>
      <c r="AB33" s="129"/>
      <c r="AC33" s="130"/>
      <c r="AF33" s="130"/>
      <c r="AG33" s="130"/>
      <c r="AH33" s="130"/>
      <c r="AI33" s="130"/>
      <c r="AJ33" s="130"/>
      <c r="AK33" s="15"/>
      <c r="AN33" s="147" t="s">
        <v>44</v>
      </c>
      <c r="AV33" s="147"/>
      <c r="AY33" s="147"/>
      <c r="AZ33" s="147"/>
      <c r="BA33" s="147"/>
      <c r="BB33" s="147"/>
      <c r="BC33" s="147"/>
      <c r="BD33" s="147"/>
      <c r="BG33" s="147"/>
      <c r="BH33" s="147"/>
      <c r="BI33" s="147"/>
      <c r="BJ33" s="147"/>
      <c r="BK33" s="147"/>
      <c r="BL33" s="148"/>
      <c r="BO33" s="148"/>
      <c r="BP33" s="148"/>
      <c r="BQ33" s="148"/>
      <c r="BR33" s="148"/>
      <c r="BS33" s="148"/>
      <c r="BT33" s="15"/>
    </row>
    <row r="34" spans="1:102" ht="36.6" customHeight="1">
      <c r="E34" s="51"/>
      <c r="F34" s="52"/>
      <c r="G34" s="52"/>
      <c r="H34" s="53">
        <v>2017</v>
      </c>
      <c r="I34" s="53"/>
      <c r="J34" s="53"/>
      <c r="K34" s="52"/>
      <c r="L34" s="33">
        <v>2017</v>
      </c>
      <c r="M34" s="51"/>
      <c r="N34" s="53"/>
      <c r="O34" s="53"/>
      <c r="P34" s="53">
        <v>2018</v>
      </c>
      <c r="Q34" s="53"/>
      <c r="R34" s="53"/>
      <c r="S34" s="52"/>
      <c r="T34" s="33">
        <v>2018</v>
      </c>
      <c r="U34" s="51"/>
      <c r="V34" s="52"/>
      <c r="W34" s="52"/>
      <c r="X34" s="53">
        <v>2019</v>
      </c>
      <c r="Y34" s="53"/>
      <c r="Z34" s="53"/>
      <c r="AA34" s="52"/>
      <c r="AB34" s="33">
        <v>2019</v>
      </c>
      <c r="AC34" s="51"/>
      <c r="AD34" s="52"/>
      <c r="AE34" s="52"/>
      <c r="AF34" s="52"/>
      <c r="AG34" s="53">
        <v>2020</v>
      </c>
      <c r="AH34" s="53"/>
      <c r="AI34" s="52"/>
      <c r="AJ34" s="33">
        <v>2020</v>
      </c>
      <c r="AN34" s="165"/>
      <c r="AO34" s="166"/>
      <c r="AP34" s="52"/>
      <c r="AQ34" s="53">
        <v>2017</v>
      </c>
      <c r="AR34" s="53"/>
      <c r="AS34" s="53"/>
      <c r="AT34" s="52"/>
      <c r="AU34" s="33">
        <v>2017</v>
      </c>
      <c r="AV34" s="51"/>
      <c r="AW34" s="53"/>
      <c r="AX34" s="53"/>
      <c r="AY34" s="53">
        <v>2018</v>
      </c>
      <c r="AZ34" s="53"/>
      <c r="BA34" s="53"/>
      <c r="BB34" s="52"/>
      <c r="BC34" s="33">
        <v>2018</v>
      </c>
      <c r="BD34" s="51"/>
      <c r="BE34" s="52"/>
      <c r="BF34" s="52"/>
      <c r="BG34" s="53">
        <v>2019</v>
      </c>
      <c r="BH34" s="53"/>
      <c r="BI34" s="53"/>
      <c r="BJ34" s="52"/>
      <c r="BK34" s="33">
        <v>2019</v>
      </c>
      <c r="BL34" s="51"/>
      <c r="BM34" s="52"/>
      <c r="BN34" s="52"/>
      <c r="BO34" s="52"/>
      <c r="BP34" s="53">
        <v>2020</v>
      </c>
      <c r="BQ34" s="53"/>
      <c r="BR34" s="52"/>
      <c r="BS34" s="33">
        <v>2020</v>
      </c>
      <c r="BW34" s="149" t="s">
        <v>44</v>
      </c>
      <c r="BX34" s="149"/>
      <c r="BY34" s="149"/>
      <c r="CC34" s="15"/>
      <c r="CD34" s="15" t="s">
        <v>50</v>
      </c>
      <c r="CE34" s="15" t="s">
        <v>251</v>
      </c>
      <c r="CK34" s="15" t="s">
        <v>51</v>
      </c>
      <c r="CP34" s="140" t="s">
        <v>46</v>
      </c>
      <c r="CU34" s="140" t="s">
        <v>52</v>
      </c>
    </row>
    <row r="35" spans="1:102" ht="49.5">
      <c r="A35" s="387" t="s">
        <v>53</v>
      </c>
      <c r="B35" s="387" t="s">
        <v>31</v>
      </c>
      <c r="C35" s="387" t="s">
        <v>1</v>
      </c>
      <c r="D35" s="387" t="s">
        <v>54</v>
      </c>
      <c r="E35" s="387" t="s">
        <v>55</v>
      </c>
      <c r="F35" s="387"/>
      <c r="G35" s="387" t="s">
        <v>56</v>
      </c>
      <c r="H35" s="387"/>
      <c r="I35" s="387" t="s">
        <v>57</v>
      </c>
      <c r="J35" s="387" t="s">
        <v>58</v>
      </c>
      <c r="K35" s="387" t="s">
        <v>59</v>
      </c>
      <c r="L35" s="33" t="s">
        <v>7</v>
      </c>
      <c r="M35" s="387" t="s">
        <v>55</v>
      </c>
      <c r="N35" s="387"/>
      <c r="O35" s="387" t="s">
        <v>56</v>
      </c>
      <c r="P35" s="387"/>
      <c r="Q35" s="387" t="s">
        <v>57</v>
      </c>
      <c r="R35" s="387" t="s">
        <v>58</v>
      </c>
      <c r="S35" s="387" t="s">
        <v>59</v>
      </c>
      <c r="T35" s="33" t="s">
        <v>7</v>
      </c>
      <c r="U35" s="387" t="s">
        <v>55</v>
      </c>
      <c r="V35" s="387"/>
      <c r="W35" s="387" t="s">
        <v>56</v>
      </c>
      <c r="X35" s="387"/>
      <c r="Y35" s="387" t="s">
        <v>57</v>
      </c>
      <c r="Z35" s="387" t="s">
        <v>58</v>
      </c>
      <c r="AA35" s="387" t="s">
        <v>59</v>
      </c>
      <c r="AB35" s="33" t="s">
        <v>7</v>
      </c>
      <c r="AC35" s="387" t="s">
        <v>55</v>
      </c>
      <c r="AD35" s="387"/>
      <c r="AE35" s="387" t="s">
        <v>56</v>
      </c>
      <c r="AF35" s="387"/>
      <c r="AG35" s="387" t="s">
        <v>57</v>
      </c>
      <c r="AH35" s="387" t="s">
        <v>58</v>
      </c>
      <c r="AI35" s="387" t="s">
        <v>59</v>
      </c>
      <c r="AJ35" s="33" t="s">
        <v>7</v>
      </c>
      <c r="AK35" s="33" t="s">
        <v>60</v>
      </c>
      <c r="AL35" s="33" t="s">
        <v>61</v>
      </c>
      <c r="AN35" s="387" t="s">
        <v>55</v>
      </c>
      <c r="AO35" s="387"/>
      <c r="AP35" s="387" t="s">
        <v>56</v>
      </c>
      <c r="AQ35" s="387"/>
      <c r="AR35" s="387" t="s">
        <v>57</v>
      </c>
      <c r="AS35" s="387" t="s">
        <v>58</v>
      </c>
      <c r="AT35" s="387" t="s">
        <v>59</v>
      </c>
      <c r="AU35" s="33" t="s">
        <v>7</v>
      </c>
      <c r="AV35" s="387" t="s">
        <v>55</v>
      </c>
      <c r="AW35" s="387"/>
      <c r="AX35" s="387" t="s">
        <v>56</v>
      </c>
      <c r="AY35" s="387"/>
      <c r="AZ35" s="387" t="s">
        <v>57</v>
      </c>
      <c r="BA35" s="387" t="s">
        <v>58</v>
      </c>
      <c r="BB35" s="387" t="s">
        <v>59</v>
      </c>
      <c r="BC35" s="33" t="s">
        <v>7</v>
      </c>
      <c r="BD35" s="387" t="s">
        <v>55</v>
      </c>
      <c r="BE35" s="387"/>
      <c r="BF35" s="387" t="s">
        <v>56</v>
      </c>
      <c r="BG35" s="387"/>
      <c r="BH35" s="387" t="s">
        <v>57</v>
      </c>
      <c r="BI35" s="387" t="s">
        <v>58</v>
      </c>
      <c r="BJ35" s="387" t="s">
        <v>59</v>
      </c>
      <c r="BK35" s="33" t="s">
        <v>7</v>
      </c>
      <c r="BL35" s="387" t="s">
        <v>55</v>
      </c>
      <c r="BM35" s="387"/>
      <c r="BN35" s="387" t="s">
        <v>56</v>
      </c>
      <c r="BO35" s="387"/>
      <c r="BP35" s="387" t="s">
        <v>57</v>
      </c>
      <c r="BQ35" s="387" t="s">
        <v>58</v>
      </c>
      <c r="BR35" s="387" t="s">
        <v>59</v>
      </c>
      <c r="BS35" s="33" t="s">
        <v>7</v>
      </c>
      <c r="BT35" s="33" t="s">
        <v>60</v>
      </c>
      <c r="BU35" s="33" t="s">
        <v>61</v>
      </c>
      <c r="BW35" s="137">
        <v>2017</v>
      </c>
      <c r="BX35" s="138">
        <v>2018</v>
      </c>
      <c r="BY35" s="137">
        <v>2019</v>
      </c>
      <c r="BZ35" s="137">
        <v>2020</v>
      </c>
      <c r="CA35" s="139" t="s">
        <v>60</v>
      </c>
      <c r="CB35" s="137" t="s">
        <v>252</v>
      </c>
      <c r="CC35" s="15"/>
      <c r="CD35" s="137">
        <v>2017</v>
      </c>
      <c r="CE35" s="138">
        <v>2018</v>
      </c>
      <c r="CF35" s="137">
        <v>2019</v>
      </c>
      <c r="CG35" s="137">
        <v>2020</v>
      </c>
      <c r="CH35" s="139" t="s">
        <v>60</v>
      </c>
      <c r="CI35" s="137" t="s">
        <v>252</v>
      </c>
      <c r="CK35" s="33" t="s">
        <v>62</v>
      </c>
      <c r="CL35" s="54" t="s">
        <v>63</v>
      </c>
      <c r="CM35" s="53" t="s">
        <v>64</v>
      </c>
      <c r="CN35" s="33" t="s">
        <v>65</v>
      </c>
      <c r="CP35" s="33">
        <v>2017</v>
      </c>
      <c r="CQ35" s="54">
        <v>2018</v>
      </c>
      <c r="CR35" s="53">
        <v>2019</v>
      </c>
      <c r="CS35" s="33">
        <v>2020</v>
      </c>
      <c r="CU35" s="137">
        <v>2017</v>
      </c>
      <c r="CV35" s="138">
        <v>2018</v>
      </c>
      <c r="CW35" s="137">
        <v>2019</v>
      </c>
      <c r="CX35" s="137">
        <v>2020</v>
      </c>
    </row>
    <row r="36" spans="1:102">
      <c r="A36" s="387"/>
      <c r="B36" s="387"/>
      <c r="C36" s="387"/>
      <c r="D36" s="387"/>
      <c r="E36" s="137" t="s">
        <v>16</v>
      </c>
      <c r="F36" s="137" t="s">
        <v>19</v>
      </c>
      <c r="G36" s="137" t="s">
        <v>22</v>
      </c>
      <c r="H36" s="137" t="s">
        <v>25</v>
      </c>
      <c r="I36" s="387"/>
      <c r="J36" s="387"/>
      <c r="K36" s="387"/>
      <c r="L36" s="151"/>
      <c r="M36" s="137" t="s">
        <v>16</v>
      </c>
      <c r="N36" s="137" t="s">
        <v>19</v>
      </c>
      <c r="O36" s="137" t="s">
        <v>22</v>
      </c>
      <c r="P36" s="137" t="s">
        <v>25</v>
      </c>
      <c r="Q36" s="387"/>
      <c r="R36" s="387"/>
      <c r="S36" s="387"/>
      <c r="T36" s="151"/>
      <c r="U36" s="137" t="s">
        <v>16</v>
      </c>
      <c r="V36" s="137" t="s">
        <v>19</v>
      </c>
      <c r="W36" s="137" t="s">
        <v>22</v>
      </c>
      <c r="X36" s="137" t="s">
        <v>25</v>
      </c>
      <c r="Y36" s="387"/>
      <c r="Z36" s="387"/>
      <c r="AA36" s="387"/>
      <c r="AB36" s="152"/>
      <c r="AC36" s="137" t="s">
        <v>16</v>
      </c>
      <c r="AD36" s="137" t="s">
        <v>19</v>
      </c>
      <c r="AE36" s="137" t="s">
        <v>22</v>
      </c>
      <c r="AF36" s="137" t="s">
        <v>25</v>
      </c>
      <c r="AG36" s="387"/>
      <c r="AH36" s="387"/>
      <c r="AI36" s="387"/>
      <c r="AJ36" s="152"/>
      <c r="AK36" s="151"/>
      <c r="AL36" s="151"/>
      <c r="AN36" s="155" t="s">
        <v>16</v>
      </c>
      <c r="AO36" s="155" t="s">
        <v>19</v>
      </c>
      <c r="AP36" s="155" t="s">
        <v>22</v>
      </c>
      <c r="AQ36" s="155" t="s">
        <v>25</v>
      </c>
      <c r="AR36" s="387"/>
      <c r="AS36" s="387"/>
      <c r="AT36" s="387"/>
      <c r="AU36" s="151"/>
      <c r="AV36" s="155" t="s">
        <v>16</v>
      </c>
      <c r="AW36" s="155" t="s">
        <v>19</v>
      </c>
      <c r="AX36" s="155" t="s">
        <v>22</v>
      </c>
      <c r="AY36" s="155" t="s">
        <v>25</v>
      </c>
      <c r="AZ36" s="387"/>
      <c r="BA36" s="387"/>
      <c r="BB36" s="387"/>
      <c r="BC36" s="151"/>
      <c r="BD36" s="155" t="s">
        <v>16</v>
      </c>
      <c r="BE36" s="155" t="s">
        <v>19</v>
      </c>
      <c r="BF36" s="155" t="s">
        <v>22</v>
      </c>
      <c r="BG36" s="155" t="s">
        <v>25</v>
      </c>
      <c r="BH36" s="387"/>
      <c r="BI36" s="387"/>
      <c r="BJ36" s="387"/>
      <c r="BK36" s="152"/>
      <c r="BL36" s="155" t="s">
        <v>16</v>
      </c>
      <c r="BM36" s="155" t="s">
        <v>19</v>
      </c>
      <c r="BN36" s="155" t="s">
        <v>22</v>
      </c>
      <c r="BO36" s="155" t="s">
        <v>25</v>
      </c>
      <c r="BP36" s="387"/>
      <c r="BQ36" s="387"/>
      <c r="BR36" s="387"/>
      <c r="BS36" s="152"/>
      <c r="BT36" s="151"/>
      <c r="BU36" s="151"/>
      <c r="BW36" s="153"/>
      <c r="BX36" s="150"/>
      <c r="BY36" s="150"/>
      <c r="BZ36" s="150"/>
      <c r="CA36" s="153"/>
      <c r="CB36" s="151"/>
      <c r="CC36" s="15"/>
      <c r="CD36" s="153"/>
      <c r="CE36" s="150"/>
      <c r="CF36" s="150"/>
      <c r="CG36" s="150"/>
      <c r="CH36" s="153"/>
      <c r="CI36" s="151"/>
      <c r="CK36" s="151"/>
      <c r="CL36" s="154"/>
      <c r="CM36" s="150"/>
      <c r="CN36" s="151"/>
      <c r="CP36" s="151"/>
      <c r="CQ36" s="154"/>
      <c r="CR36" s="150"/>
      <c r="CS36" s="151"/>
      <c r="CU36" s="153"/>
      <c r="CV36" s="150"/>
      <c r="CW36" s="150"/>
      <c r="CX36" s="154"/>
    </row>
    <row r="37" spans="1:102">
      <c r="A37" s="29">
        <v>101</v>
      </c>
      <c r="B37" s="29" t="s">
        <v>2</v>
      </c>
      <c r="C37" s="55" t="s">
        <v>66</v>
      </c>
      <c r="D37" s="56">
        <v>0</v>
      </c>
      <c r="E37" s="57">
        <f>VLOOKUP(A37,AuxOPEXSaneparOriginal!$B$4:$F$177,3,0)</f>
        <v>46198792.120000049</v>
      </c>
      <c r="F37" s="156">
        <f>VLOOKUP(A37,AuxOPEXSaneparOriginal!$B$4:$F$177,4,0)</f>
        <v>45201137.93999999</v>
      </c>
      <c r="G37" s="57">
        <f>VLOOKUP(A37,AuxOPEXSaneparOriginal!$B$4:$K$177,8,0)</f>
        <v>12058295.490000006</v>
      </c>
      <c r="H37" s="156">
        <f>VLOOKUP(A37,AuxOPEXSaneparOriginal!$B$4:$K$177,9,0)</f>
        <v>20071931.159999996</v>
      </c>
      <c r="I37" s="57">
        <f>VLOOKUP(A37,AuxOPEXSaneparOriginal!$B$4:$N$177,13,0)</f>
        <v>39619841.840000004</v>
      </c>
      <c r="J37" s="57">
        <f>VLOOKUP(A37,AuxOPEXSaneparOriginal!$B$4:$Q$177,16,0)</f>
        <v>189250727.94</v>
      </c>
      <c r="K37" s="57">
        <f>VLOOKUP(A37,AuxOPEXSaneparOriginal!$B$4:$V$177,21,0)</f>
        <v>0</v>
      </c>
      <c r="L37" s="58">
        <f t="shared" ref="L37:L57" si="50">SUM(E37:K37)</f>
        <v>352400726.49000001</v>
      </c>
      <c r="M37" s="19">
        <f>VLOOKUP(A37,AuxOPEXSaneparOriginal!$B$4:$AB$177,27,0)</f>
        <v>46800239.609999999</v>
      </c>
      <c r="N37" s="156">
        <f>VLOOKUP(A37,AuxOPEXSaneparOriginal!$B$4:$AC$177,28,0)</f>
        <v>45754567.619999997</v>
      </c>
      <c r="O37" s="156">
        <f>VLOOKUP(A37,AuxOPEXSaneparOriginal!$B$4:$AD$177,29,0)</f>
        <v>12563835.940000003</v>
      </c>
      <c r="P37" s="156">
        <f>VLOOKUP(A37,AuxOPEXSaneparOriginal!$B$4:$AE$177,30,0)</f>
        <v>21586030.920000002</v>
      </c>
      <c r="Q37" s="19">
        <f>VLOOKUP(A37,AuxOPEXSaneparOriginal!$B$4:$AF$177,31,0)</f>
        <v>42979420.200000003</v>
      </c>
      <c r="R37" s="19">
        <f>VLOOKUP(A37,AuxOPEXSaneparOriginal!$B$4:$AG$177,32,0)</f>
        <v>193407439.50999996</v>
      </c>
      <c r="S37" s="19">
        <f>VLOOKUP(A37,AuxOPEXSaneparOriginal!$B$4:$AH$177,33,0)</f>
        <v>0</v>
      </c>
      <c r="T37" s="58">
        <f t="shared" ref="T37:T57" si="51">SUM(M37:S37)</f>
        <v>363091533.79999995</v>
      </c>
      <c r="U37" s="156">
        <f>VLOOKUP(A37,AuxOPEXSaneparOriginal!$B$4:$AI$177,34,0)</f>
        <v>49660279.69000002</v>
      </c>
      <c r="V37" s="156">
        <f>VLOOKUP(A37,AuxOPEXSaneparOriginal!$B$4:$AJ$177,35,0)</f>
        <v>48027551.54999996</v>
      </c>
      <c r="W37" s="156">
        <f>VLOOKUP(A37,AuxOPEXSaneparOriginal!$B$4:$AK$177,36,0)</f>
        <v>14156864.140000006</v>
      </c>
      <c r="X37" s="19">
        <f>+VLOOKUP(A37,AuxOPEXSaneparOriginal!$B$4:$AL$177,37,0)</f>
        <v>24452573.349999994</v>
      </c>
      <c r="Y37" s="19">
        <f>VLOOKUP(A37,AuxOPEXSaneparOriginal!$B$4:$AM$177,38,0)</f>
        <v>46122557.159999944</v>
      </c>
      <c r="Z37" s="19">
        <f>VLOOKUP(A37,AuxOPEXSaneparOriginal!$B$4:$AN$177,39,0)</f>
        <v>203678580.85999995</v>
      </c>
      <c r="AA37" s="19">
        <f>VLOOKUP(A37,AuxOPEXSaneparOriginal!$B$4:$AO$177,40,0)</f>
        <v>0</v>
      </c>
      <c r="AB37" s="59">
        <f t="shared" ref="AB37:AB57" si="52">SUM(U37:AA37)</f>
        <v>386098406.74999988</v>
      </c>
      <c r="AC37" s="156">
        <f>VLOOKUP(A37,AuxOPEXSaneparOriginal!$B$4:$AP$177,41,0)</f>
        <v>48294139.420000061</v>
      </c>
      <c r="AD37" s="156">
        <f>+VLOOKUP(A37,AuxOPEXSaneparOriginal!$B$4:$AQ$177,42,0)</f>
        <v>47232823.749999985</v>
      </c>
      <c r="AE37" s="156">
        <f>VLOOKUP(A37,AuxOPEXSaneparOriginal!$B$4:$AR$177,43,0)</f>
        <v>15970959.26</v>
      </c>
      <c r="AF37" s="156">
        <f>+VLOOKUP(A37,AuxOPEXSaneparOriginal!$B$4:$AS$177,44,0)</f>
        <v>26624387.270000011</v>
      </c>
      <c r="AG37" s="19">
        <f>VLOOKUP(A37,AuxOPEXSaneparOriginal!$B$4:$AT$177,45,0)</f>
        <v>47572278.409999944</v>
      </c>
      <c r="AH37" s="19">
        <f>VLOOKUP(A37,AuxOPEXSaneparOriginal!$B$4:$AU$177,46,0)</f>
        <v>204867162.63999999</v>
      </c>
      <c r="AI37" s="19">
        <f>VLOOKUP(A37,AuxOPEXSaneparOriginal!$B$4:$AV$177,47,0)</f>
        <v>0</v>
      </c>
      <c r="AJ37" s="59">
        <f t="shared" ref="AJ37:AJ57" si="53">SUM(AC37:AI37)</f>
        <v>390561750.75</v>
      </c>
      <c r="AK37" s="58">
        <f t="shared" ref="AK37:AK68" si="54">AVERAGE(AJ37,AB37,T37,L37)</f>
        <v>373038104.44749993</v>
      </c>
      <c r="AL37" s="58">
        <f t="shared" ref="AL37:AL68" si="55">AVERAGE(AJ37,AB37)</f>
        <v>388330078.74999994</v>
      </c>
      <c r="AN37" s="167">
        <f>E37*(1-$D37)</f>
        <v>46198792.120000049</v>
      </c>
      <c r="AO37" s="168">
        <f>F37*(1-$D37)</f>
        <v>45201137.93999999</v>
      </c>
      <c r="AP37" s="57">
        <f t="shared" ref="AP37:BE37" si="56">G37*(1-$D37)</f>
        <v>12058295.490000006</v>
      </c>
      <c r="AQ37" s="57">
        <f t="shared" si="56"/>
        <v>20071931.159999996</v>
      </c>
      <c r="AR37" s="57">
        <f t="shared" si="56"/>
        <v>39619841.840000004</v>
      </c>
      <c r="AS37" s="57">
        <f t="shared" si="56"/>
        <v>189250727.94</v>
      </c>
      <c r="AT37" s="57">
        <f t="shared" si="56"/>
        <v>0</v>
      </c>
      <c r="AU37" s="58">
        <f t="shared" ref="AU37:AU57" si="57">SUM(AN37:AT37)</f>
        <v>352400726.49000001</v>
      </c>
      <c r="AV37" s="57">
        <f t="shared" si="56"/>
        <v>46800239.609999999</v>
      </c>
      <c r="AW37" s="57">
        <f t="shared" si="56"/>
        <v>45754567.619999997</v>
      </c>
      <c r="AX37" s="57">
        <f t="shared" si="56"/>
        <v>12563835.940000003</v>
      </c>
      <c r="AY37" s="57">
        <f t="shared" si="56"/>
        <v>21586030.920000002</v>
      </c>
      <c r="AZ37" s="57">
        <f t="shared" si="56"/>
        <v>42979420.200000003</v>
      </c>
      <c r="BA37" s="57">
        <f t="shared" si="56"/>
        <v>193407439.50999996</v>
      </c>
      <c r="BB37" s="57">
        <f t="shared" si="56"/>
        <v>0</v>
      </c>
      <c r="BC37" s="58">
        <f t="shared" ref="BC37:BC57" si="58">SUM(AV37:BB37)</f>
        <v>363091533.79999995</v>
      </c>
      <c r="BD37" s="57">
        <f t="shared" si="56"/>
        <v>49660279.69000002</v>
      </c>
      <c r="BE37" s="57">
        <f t="shared" si="56"/>
        <v>48027551.54999996</v>
      </c>
      <c r="BF37" s="57">
        <f t="shared" ref="BF37" si="59">W37*(1-$D37)</f>
        <v>14156864.140000006</v>
      </c>
      <c r="BG37" s="57">
        <f t="shared" ref="BG37" si="60">X37*(1-$D37)</f>
        <v>24452573.349999994</v>
      </c>
      <c r="BH37" s="57">
        <f t="shared" ref="BH37" si="61">Y37*(1-$D37)</f>
        <v>46122557.159999944</v>
      </c>
      <c r="BI37" s="57">
        <f t="shared" ref="BI37" si="62">Z37*(1-$D37)</f>
        <v>203678580.85999995</v>
      </c>
      <c r="BJ37" s="57">
        <f t="shared" ref="BJ37" si="63">AA37*(1-$D37)</f>
        <v>0</v>
      </c>
      <c r="BK37" s="59">
        <f t="shared" ref="BK37:BK57" si="64">SUM(BD37:BJ37)</f>
        <v>386098406.74999988</v>
      </c>
      <c r="BL37" s="57">
        <f t="shared" ref="BL37" si="65">AC37*(1-$D37)</f>
        <v>48294139.420000061</v>
      </c>
      <c r="BM37" s="57">
        <f t="shared" ref="BM37" si="66">AD37*(1-$D37)</f>
        <v>47232823.749999985</v>
      </c>
      <c r="BN37" s="57">
        <f t="shared" ref="BN37" si="67">AE37*(1-$D37)</f>
        <v>15970959.26</v>
      </c>
      <c r="BO37" s="57">
        <f t="shared" ref="BO37" si="68">AF37*(1-$D37)</f>
        <v>26624387.270000011</v>
      </c>
      <c r="BP37" s="57">
        <f t="shared" ref="BP37" si="69">AG37*(1-$D37)</f>
        <v>47572278.409999944</v>
      </c>
      <c r="BQ37" s="57">
        <f t="shared" ref="BQ37" si="70">AH37*(1-$D37)</f>
        <v>204867162.63999999</v>
      </c>
      <c r="BR37" s="57">
        <f t="shared" ref="BR37" si="71">AI37*(1-$D37)</f>
        <v>0</v>
      </c>
      <c r="BS37" s="59">
        <f t="shared" ref="BS37:BS57" si="72">SUM(BL37:BR37)</f>
        <v>390561750.75</v>
      </c>
      <c r="BT37" s="58">
        <f t="shared" ref="BT37:BT100" si="73">AVERAGE(BS37,BK37,BC37,AU37)</f>
        <v>373038104.44749993</v>
      </c>
      <c r="BU37" s="58">
        <f t="shared" ref="BU37:BU100" si="74">AVERAGE(BS37,BK37)</f>
        <v>388330078.74999994</v>
      </c>
      <c r="BW37" s="60">
        <f t="shared" ref="BW37:BW57" si="75">L37*(1-$D37)</f>
        <v>352400726.49000001</v>
      </c>
      <c r="BX37" s="132">
        <f t="shared" ref="BX37:BX57" si="76">T37*(1-$D37)</f>
        <v>363091533.79999995</v>
      </c>
      <c r="BY37" s="132">
        <f t="shared" ref="BY37:BY57" si="77">AB37*(1-$D37)</f>
        <v>386098406.74999988</v>
      </c>
      <c r="BZ37" s="132">
        <f t="shared" ref="BZ37:BZ57" si="78">AJ37*(1-$D37)</f>
        <v>390561750.75</v>
      </c>
      <c r="CA37" s="60">
        <f>AVERAGE(BW37:BZ37)</f>
        <v>373038104.44749999</v>
      </c>
      <c r="CB37" s="58">
        <f>MEDIAN(BW37:BZ37)</f>
        <v>374594970.27499992</v>
      </c>
      <c r="CD37" s="60">
        <f t="shared" ref="CD37:CD57" si="79">+BW37*F$16</f>
        <v>400322961.24384946</v>
      </c>
      <c r="CE37" s="132">
        <f t="shared" ref="CE37:CE57" si="80">+BX37*G$16</f>
        <v>396428528.8117733</v>
      </c>
      <c r="CF37" s="132">
        <f t="shared" ref="CF37:CF57" si="81">+BY37*H$16</f>
        <v>408180494.31741196</v>
      </c>
      <c r="CG37" s="132">
        <f>BZ37</f>
        <v>390561750.75</v>
      </c>
      <c r="CH37" s="60">
        <f>AVERAGE(CD37:CG37)</f>
        <v>398873433.78075868</v>
      </c>
      <c r="CI37" s="58">
        <f>MEDIAN(CD37:CG37)</f>
        <v>398375745.02781141</v>
      </c>
      <c r="CK37" s="61">
        <f>IFERROR(+CE37/CD37-1,0)</f>
        <v>-9.728226479879365E-3</v>
      </c>
      <c r="CL37" s="62">
        <f>IFERROR(+CF37/CE37-1,0)</f>
        <v>2.964460085873033E-2</v>
      </c>
      <c r="CM37" s="63">
        <f>IFERROR(+CG37/CF37-1,0)</f>
        <v>-4.31640997369932E-2</v>
      </c>
      <c r="CN37" s="61">
        <f>IFERROR(+CG37/CD37-1,0)</f>
        <v>-2.4383339050850994E-2</v>
      </c>
      <c r="CO37" s="29"/>
      <c r="CP37" s="61">
        <f t="shared" ref="CP37:CP57" si="82">+CD37/CD$177</f>
        <v>0.16864197676153564</v>
      </c>
      <c r="CQ37" s="62">
        <f t="shared" ref="CQ37:CQ57" si="83">+CE37/CE$177</f>
        <v>0.17069626926764028</v>
      </c>
      <c r="CR37" s="63">
        <f t="shared" ref="CR37:CR57" si="84">+CF37/CF$177</f>
        <v>0.16950644375671345</v>
      </c>
      <c r="CS37" s="61">
        <f t="shared" ref="CS37:CS57" si="85">+CG37/CG$177</f>
        <v>0.16137358708626395</v>
      </c>
      <c r="CU37" s="60">
        <f t="shared" ref="CU37:CU68" si="86">IFERROR(+CD37/$CD37*100,0)</f>
        <v>100</v>
      </c>
      <c r="CV37" s="132">
        <f t="shared" ref="CV37:CV68" si="87">IFERROR(+CE37/$CD37*100,0)</f>
        <v>99.02717735201206</v>
      </c>
      <c r="CW37" s="132">
        <f t="shared" ref="CW37:CW68" si="88">IFERROR(+CF37/$CD37*100,0)</f>
        <v>101.96279849877914</v>
      </c>
      <c r="CX37" s="131">
        <f t="shared" ref="CX37:CX68" si="89">IFERROR(+CG37/$CD37*100,0)</f>
        <v>97.561666094914898</v>
      </c>
    </row>
    <row r="38" spans="1:102">
      <c r="A38" s="29">
        <v>102</v>
      </c>
      <c r="B38" s="29" t="s">
        <v>2</v>
      </c>
      <c r="C38" s="55" t="s">
        <v>67</v>
      </c>
      <c r="D38" s="56">
        <v>0</v>
      </c>
      <c r="E38" s="57">
        <f>VLOOKUP(A38,AuxOPEXSaneparOriginal!$B$4:$F$177,3,0)</f>
        <v>7802176.4000000022</v>
      </c>
      <c r="F38" s="156">
        <f>VLOOKUP(A38,AuxOPEXSaneparOriginal!$B$4:$F$177,4,0)</f>
        <v>5152226.3199999956</v>
      </c>
      <c r="G38" s="57">
        <f>VLOOKUP(A38,AuxOPEXSaneparOriginal!$B$4:$K$177,8,0)</f>
        <v>1516677.2499999995</v>
      </c>
      <c r="H38" s="156">
        <f>VLOOKUP(A38,AuxOPEXSaneparOriginal!$B$4:$K$177,9,0)</f>
        <v>1914030.2699999996</v>
      </c>
      <c r="I38" s="57">
        <f>VLOOKUP(A38,AuxOPEXSaneparOriginal!$B$4:$N$177,13,0)</f>
        <v>979638.00000000047</v>
      </c>
      <c r="J38" s="57">
        <f>VLOOKUP(A38,AuxOPEXSaneparOriginal!$B$4:$Q$177,16,0)</f>
        <v>3148150.37</v>
      </c>
      <c r="K38" s="57">
        <f>VLOOKUP(A38,AuxOPEXSaneparOriginal!$B$4:$V$177,21,0)</f>
        <v>0</v>
      </c>
      <c r="L38" s="58">
        <f t="shared" si="50"/>
        <v>20512898.609999999</v>
      </c>
      <c r="M38" s="19">
        <f>VLOOKUP(A38,AuxOPEXSaneparOriginal!$B$4:$AB$177,27,0)</f>
        <v>8338061.3400000008</v>
      </c>
      <c r="N38" s="156">
        <f>VLOOKUP(A38,AuxOPEXSaneparOriginal!$B$4:$AC$177,28,0)</f>
        <v>5612786.9499999974</v>
      </c>
      <c r="O38" s="156">
        <f>VLOOKUP(A38,AuxOPEXSaneparOriginal!$B$4:$AD$177,29,0)</f>
        <v>1754307.4900000002</v>
      </c>
      <c r="P38" s="156">
        <f>VLOOKUP(A38,AuxOPEXSaneparOriginal!$B$4:$AE$177,30,0)</f>
        <v>2205643.9899999988</v>
      </c>
      <c r="Q38" s="19">
        <f>VLOOKUP(A38,AuxOPEXSaneparOriginal!$B$4:$AF$177,31,0)</f>
        <v>1203493.4699999993</v>
      </c>
      <c r="R38" s="19">
        <f>VLOOKUP(A38,AuxOPEXSaneparOriginal!$B$4:$AG$177,32,0)</f>
        <v>3480799.9399999995</v>
      </c>
      <c r="S38" s="19">
        <f>VLOOKUP(A38,AuxOPEXSaneparOriginal!$B$4:$AH$177,33,0)</f>
        <v>0</v>
      </c>
      <c r="T38" s="58">
        <f t="shared" si="51"/>
        <v>22595093.18</v>
      </c>
      <c r="U38" s="156">
        <f>VLOOKUP(A38,AuxOPEXSaneparOriginal!$B$4:$AI$177,34,0)</f>
        <v>9312223.360000005</v>
      </c>
      <c r="V38" s="156">
        <f>VLOOKUP(A38,AuxOPEXSaneparOriginal!$B$4:$AJ$177,35,0)</f>
        <v>6214233.3099999996</v>
      </c>
      <c r="W38" s="156">
        <f>VLOOKUP(A38,AuxOPEXSaneparOriginal!$B$4:$AK$177,36,0)</f>
        <v>2131305.1700000004</v>
      </c>
      <c r="X38" s="19">
        <f>+VLOOKUP(A38,AuxOPEXSaneparOriginal!$B$4:$AL$177,37,0)</f>
        <v>2771769.549999998</v>
      </c>
      <c r="Y38" s="19">
        <f>VLOOKUP(A38,AuxOPEXSaneparOriginal!$B$4:$AM$177,38,0)</f>
        <v>1206679.6099999994</v>
      </c>
      <c r="Z38" s="19">
        <f>VLOOKUP(A38,AuxOPEXSaneparOriginal!$B$4:$AN$177,39,0)</f>
        <v>3535832.1</v>
      </c>
      <c r="AA38" s="19">
        <f>VLOOKUP(A38,AuxOPEXSaneparOriginal!$B$4:$AO$177,40,0)</f>
        <v>0</v>
      </c>
      <c r="AB38" s="58">
        <f t="shared" si="52"/>
        <v>25172043.100000005</v>
      </c>
      <c r="AC38" s="156">
        <f>VLOOKUP(A38,AuxOPEXSaneparOriginal!$B$4:$AP$177,41,0)</f>
        <v>9040672.5000000056</v>
      </c>
      <c r="AD38" s="156">
        <f>+VLOOKUP(A38,AuxOPEXSaneparOriginal!$B$4:$AQ$177,42,0)</f>
        <v>5527160.0600000052</v>
      </c>
      <c r="AE38" s="156">
        <f>VLOOKUP(A38,AuxOPEXSaneparOriginal!$B$4:$AR$177,43,0)</f>
        <v>2375328.2200000002</v>
      </c>
      <c r="AF38" s="156">
        <f>+VLOOKUP(A38,AuxOPEXSaneparOriginal!$B$4:$AS$177,44,0)</f>
        <v>2811416.46</v>
      </c>
      <c r="AG38" s="19">
        <f>VLOOKUP(A38,AuxOPEXSaneparOriginal!$B$4:$AT$177,45,0)</f>
        <v>1009806.9600000001</v>
      </c>
      <c r="AH38" s="19">
        <f>VLOOKUP(A38,AuxOPEXSaneparOriginal!$B$4:$AU$177,46,0)</f>
        <v>3182584.02</v>
      </c>
      <c r="AI38" s="19">
        <f>VLOOKUP(A38,AuxOPEXSaneparOriginal!$B$4:$AV$177,47,0)</f>
        <v>0</v>
      </c>
      <c r="AJ38" s="58">
        <f t="shared" si="53"/>
        <v>23946968.22000001</v>
      </c>
      <c r="AK38" s="58">
        <f t="shared" si="54"/>
        <v>23056750.777500004</v>
      </c>
      <c r="AL38" s="58">
        <f t="shared" si="55"/>
        <v>24559505.660000008</v>
      </c>
      <c r="AN38" s="167">
        <f t="shared" ref="AN38:AN57" si="90">E38*(1-$D38)</f>
        <v>7802176.4000000022</v>
      </c>
      <c r="AO38" s="168">
        <f t="shared" ref="AO38:AO57" si="91">F38*(1-$D38)</f>
        <v>5152226.3199999956</v>
      </c>
      <c r="AP38" s="57">
        <f t="shared" ref="AP38:AP57" si="92">G38*(1-$D38)</f>
        <v>1516677.2499999995</v>
      </c>
      <c r="AQ38" s="57">
        <f t="shared" ref="AQ38:AQ57" si="93">H38*(1-$D38)</f>
        <v>1914030.2699999996</v>
      </c>
      <c r="AR38" s="57">
        <f t="shared" ref="AR38:AR57" si="94">I38*(1-$D38)</f>
        <v>979638.00000000047</v>
      </c>
      <c r="AS38" s="57">
        <f t="shared" ref="AS38:AS57" si="95">J38*(1-$D38)</f>
        <v>3148150.37</v>
      </c>
      <c r="AT38" s="57">
        <f t="shared" ref="AT38:AT57" si="96">K38*(1-$D38)</f>
        <v>0</v>
      </c>
      <c r="AU38" s="58">
        <f t="shared" si="57"/>
        <v>20512898.609999999</v>
      </c>
      <c r="AV38" s="57">
        <f t="shared" ref="AV38:AV57" si="97">M38*(1-$D38)</f>
        <v>8338061.3400000008</v>
      </c>
      <c r="AW38" s="57">
        <f t="shared" ref="AW38:AW57" si="98">N38*(1-$D38)</f>
        <v>5612786.9499999974</v>
      </c>
      <c r="AX38" s="57">
        <f t="shared" ref="AX38:AX57" si="99">O38*(1-$D38)</f>
        <v>1754307.4900000002</v>
      </c>
      <c r="AY38" s="57">
        <f t="shared" ref="AY38:AY57" si="100">P38*(1-$D38)</f>
        <v>2205643.9899999988</v>
      </c>
      <c r="AZ38" s="57">
        <f t="shared" ref="AZ38:AZ57" si="101">Q38*(1-$D38)</f>
        <v>1203493.4699999993</v>
      </c>
      <c r="BA38" s="57">
        <f t="shared" ref="BA38:BA57" si="102">R38*(1-$D38)</f>
        <v>3480799.9399999995</v>
      </c>
      <c r="BB38" s="57">
        <f t="shared" ref="BB38:BB57" si="103">S38*(1-$D38)</f>
        <v>0</v>
      </c>
      <c r="BC38" s="58">
        <f t="shared" si="58"/>
        <v>22595093.18</v>
      </c>
      <c r="BD38" s="57">
        <f t="shared" ref="BD38:BD57" si="104">U38*(1-$D38)</f>
        <v>9312223.360000005</v>
      </c>
      <c r="BE38" s="57">
        <f t="shared" ref="BE38:BE57" si="105">V38*(1-$D38)</f>
        <v>6214233.3099999996</v>
      </c>
      <c r="BF38" s="57">
        <f t="shared" ref="BF38:BF57" si="106">W38*(1-$D38)</f>
        <v>2131305.1700000004</v>
      </c>
      <c r="BG38" s="57">
        <f t="shared" ref="BG38:BG57" si="107">X38*(1-$D38)</f>
        <v>2771769.549999998</v>
      </c>
      <c r="BH38" s="57">
        <f t="shared" ref="BH38:BH57" si="108">Y38*(1-$D38)</f>
        <v>1206679.6099999994</v>
      </c>
      <c r="BI38" s="57">
        <f t="shared" ref="BI38:BI57" si="109">Z38*(1-$D38)</f>
        <v>3535832.1</v>
      </c>
      <c r="BJ38" s="57">
        <f t="shared" ref="BJ38:BJ57" si="110">AA38*(1-$D38)</f>
        <v>0</v>
      </c>
      <c r="BK38" s="58">
        <f t="shared" si="64"/>
        <v>25172043.100000005</v>
      </c>
      <c r="BL38" s="57">
        <f t="shared" ref="BL38:BL72" si="111">AC38*(1-$D38)</f>
        <v>9040672.5000000056</v>
      </c>
      <c r="BM38" s="57">
        <f t="shared" ref="BM38:BM72" si="112">AD38*(1-$D38)</f>
        <v>5527160.0600000052</v>
      </c>
      <c r="BN38" s="57">
        <f t="shared" ref="BN38:BN72" si="113">AE38*(1-$D38)</f>
        <v>2375328.2200000002</v>
      </c>
      <c r="BO38" s="57">
        <f t="shared" ref="BO38:BO72" si="114">AF38*(1-$D38)</f>
        <v>2811416.46</v>
      </c>
      <c r="BP38" s="57">
        <f t="shared" ref="BP38:BP72" si="115">AG38*(1-$D38)</f>
        <v>1009806.9600000001</v>
      </c>
      <c r="BQ38" s="57">
        <f t="shared" ref="BQ38:BQ72" si="116">AH38*(1-$D38)</f>
        <v>3182584.02</v>
      </c>
      <c r="BR38" s="57">
        <f t="shared" ref="BR38:BR72" si="117">AI38*(1-$D38)</f>
        <v>0</v>
      </c>
      <c r="BS38" s="58">
        <f t="shared" si="72"/>
        <v>23946968.22000001</v>
      </c>
      <c r="BT38" s="58">
        <f t="shared" si="73"/>
        <v>23056750.777500004</v>
      </c>
      <c r="BU38" s="58">
        <f t="shared" si="74"/>
        <v>24559505.660000008</v>
      </c>
      <c r="BW38" s="60">
        <f t="shared" si="75"/>
        <v>20512898.609999999</v>
      </c>
      <c r="BX38" s="132">
        <f t="shared" si="76"/>
        <v>22595093.18</v>
      </c>
      <c r="BY38" s="132">
        <f t="shared" si="77"/>
        <v>25172043.100000005</v>
      </c>
      <c r="BZ38" s="132">
        <f t="shared" si="78"/>
        <v>23946968.22000001</v>
      </c>
      <c r="CA38" s="60">
        <f t="shared" ref="CA38:CA57" si="118">AVERAGE(BW38:BZ38)</f>
        <v>23056750.777500004</v>
      </c>
      <c r="CB38" s="58">
        <f t="shared" ref="CB38:CB57" si="119">MEDIAN(BW38:BZ38)</f>
        <v>23271030.700000003</v>
      </c>
      <c r="CD38" s="60">
        <f t="shared" si="79"/>
        <v>23302404.614886817</v>
      </c>
      <c r="CE38" s="132">
        <f t="shared" si="80"/>
        <v>24669645.843756475</v>
      </c>
      <c r="CF38" s="132">
        <f t="shared" si="81"/>
        <v>26611705.243813995</v>
      </c>
      <c r="CG38" s="132">
        <f>BZ38</f>
        <v>23946968.22000001</v>
      </c>
      <c r="CH38" s="60">
        <f t="shared" ref="CH38:CH57" si="120">AVERAGE(CD38:CG38)</f>
        <v>24632680.980614323</v>
      </c>
      <c r="CI38" s="58">
        <f t="shared" ref="CI38:CI57" si="121">MEDIAN(CD38:CG38)</f>
        <v>24308307.03187824</v>
      </c>
      <c r="CK38" s="61">
        <f t="shared" ref="CK38:CK57" si="122">IFERROR(+CE38/CD38-1,0)</f>
        <v>5.8673825790330314E-2</v>
      </c>
      <c r="CL38" s="62">
        <f t="shared" ref="CL38:CL57" si="123">IFERROR(+CF38/CE38-1,0)</f>
        <v>7.872262992170298E-2</v>
      </c>
      <c r="CM38" s="63">
        <f t="shared" ref="CM38:CM57" si="124">IFERROR(+CG38/CF38-1,0)</f>
        <v>-0.10013401995099191</v>
      </c>
      <c r="CN38" s="61">
        <f t="shared" ref="CN38:CN57" si="125">IFERROR(+CG38/CD38-1,0)</f>
        <v>2.7660819377473667E-2</v>
      </c>
      <c r="CO38" s="29"/>
      <c r="CP38" s="61">
        <f t="shared" si="82"/>
        <v>9.8164830849107841E-3</v>
      </c>
      <c r="CQ38" s="62">
        <f t="shared" si="83"/>
        <v>1.0622385130315872E-2</v>
      </c>
      <c r="CR38" s="63">
        <f t="shared" si="84"/>
        <v>1.1051129539455732E-2</v>
      </c>
      <c r="CS38" s="61">
        <f t="shared" si="85"/>
        <v>9.8944869897815164E-3</v>
      </c>
      <c r="CU38" s="60">
        <f t="shared" si="86"/>
        <v>100</v>
      </c>
      <c r="CV38" s="132">
        <f t="shared" si="87"/>
        <v>105.86738257903303</v>
      </c>
      <c r="CW38" s="132">
        <f t="shared" si="88"/>
        <v>114.20154135858161</v>
      </c>
      <c r="CX38" s="131">
        <f t="shared" si="89"/>
        <v>102.76608193774737</v>
      </c>
    </row>
    <row r="39" spans="1:102">
      <c r="A39" s="29">
        <v>105</v>
      </c>
      <c r="B39" s="29" t="s">
        <v>2</v>
      </c>
      <c r="C39" s="55" t="s">
        <v>68</v>
      </c>
      <c r="D39" s="56">
        <v>0</v>
      </c>
      <c r="E39" s="57">
        <f>VLOOKUP(A39,AuxOPEXSaneparOriginal!$B$4:$F$177,3,0)</f>
        <v>442877.20999999996</v>
      </c>
      <c r="F39" s="156">
        <f>VLOOKUP(A39,AuxOPEXSaneparOriginal!$B$4:$F$177,4,0)</f>
        <v>852461.41999999993</v>
      </c>
      <c r="G39" s="57">
        <f>VLOOKUP(A39,AuxOPEXSaneparOriginal!$B$4:$K$177,8,0)</f>
        <v>20896.45</v>
      </c>
      <c r="H39" s="156">
        <f>VLOOKUP(A39,AuxOPEXSaneparOriginal!$B$4:$K$177,9,0)</f>
        <v>229118.90000000002</v>
      </c>
      <c r="I39" s="57">
        <f>VLOOKUP(A39,AuxOPEXSaneparOriginal!$B$4:$N$177,13,0)</f>
        <v>980114.49</v>
      </c>
      <c r="J39" s="57">
        <f>VLOOKUP(A39,AuxOPEXSaneparOriginal!$B$4:$Q$177,16,0)</f>
        <v>32268683.130000006</v>
      </c>
      <c r="K39" s="57">
        <f>VLOOKUP(A39,AuxOPEXSaneparOriginal!$B$4:$V$177,21,0)</f>
        <v>0</v>
      </c>
      <c r="L39" s="58">
        <f t="shared" si="50"/>
        <v>34794151.600000009</v>
      </c>
      <c r="M39" s="19">
        <f>VLOOKUP(A39,AuxOPEXSaneparOriginal!$B$4:$AB$177,27,0)</f>
        <v>500496.16000000003</v>
      </c>
      <c r="N39" s="156">
        <f>VLOOKUP(A39,AuxOPEXSaneparOriginal!$B$4:$AC$177,28,0)</f>
        <v>1104501.3500000001</v>
      </c>
      <c r="O39" s="156">
        <f>VLOOKUP(A39,AuxOPEXSaneparOriginal!$B$4:$AD$177,29,0)</f>
        <v>146150.29</v>
      </c>
      <c r="P39" s="156">
        <f>VLOOKUP(A39,AuxOPEXSaneparOriginal!$B$4:$AE$177,30,0)</f>
        <v>291799.38</v>
      </c>
      <c r="Q39" s="19">
        <f>VLOOKUP(A39,AuxOPEXSaneparOriginal!$B$4:$AF$177,31,0)</f>
        <v>1074126.4200000002</v>
      </c>
      <c r="R39" s="19">
        <f>VLOOKUP(A39,AuxOPEXSaneparOriginal!$B$4:$AG$177,32,0)</f>
        <v>30059150.399999999</v>
      </c>
      <c r="S39" s="19">
        <f>VLOOKUP(A39,AuxOPEXSaneparOriginal!$B$4:$AH$177,33,0)</f>
        <v>0</v>
      </c>
      <c r="T39" s="58">
        <f t="shared" si="51"/>
        <v>33176224</v>
      </c>
      <c r="U39" s="156">
        <f>VLOOKUP(A39,AuxOPEXSaneparOriginal!$B$4:$AI$177,34,0)</f>
        <v>601727.31000000006</v>
      </c>
      <c r="V39" s="156">
        <f>VLOOKUP(A39,AuxOPEXSaneparOriginal!$B$4:$AJ$177,35,0)</f>
        <v>773809.49999999988</v>
      </c>
      <c r="W39" s="156">
        <f>VLOOKUP(A39,AuxOPEXSaneparOriginal!$B$4:$AK$177,36,0)</f>
        <v>219192.15999999997</v>
      </c>
      <c r="X39" s="19">
        <f>+VLOOKUP(A39,AuxOPEXSaneparOriginal!$B$4:$AL$177,37,0)</f>
        <v>360099.61</v>
      </c>
      <c r="Y39" s="19">
        <f>VLOOKUP(A39,AuxOPEXSaneparOriginal!$B$4:$AM$177,38,0)</f>
        <v>1252285.4900000002</v>
      </c>
      <c r="Z39" s="19">
        <f>VLOOKUP(A39,AuxOPEXSaneparOriginal!$B$4:$AN$177,39,0)</f>
        <v>25315213.380000006</v>
      </c>
      <c r="AA39" s="19">
        <f>VLOOKUP(A39,AuxOPEXSaneparOriginal!$B$4:$AO$177,40,0)</f>
        <v>0</v>
      </c>
      <c r="AB39" s="58">
        <f t="shared" si="52"/>
        <v>28522327.450000007</v>
      </c>
      <c r="AC39" s="156">
        <f>VLOOKUP(A39,AuxOPEXSaneparOriginal!$B$4:$AP$177,41,0)</f>
        <v>585816.19000000006</v>
      </c>
      <c r="AD39" s="156">
        <f>+VLOOKUP(A39,AuxOPEXSaneparOriginal!$B$4:$AQ$177,42,0)</f>
        <v>778872.8</v>
      </c>
      <c r="AE39" s="156">
        <f>VLOOKUP(A39,AuxOPEXSaneparOriginal!$B$4:$AR$177,43,0)</f>
        <v>244394.22000000003</v>
      </c>
      <c r="AF39" s="156">
        <f>+VLOOKUP(A39,AuxOPEXSaneparOriginal!$B$4:$AS$177,44,0)</f>
        <v>319531.74000000005</v>
      </c>
      <c r="AG39" s="19">
        <f>VLOOKUP(A39,AuxOPEXSaneparOriginal!$B$4:$AT$177,45,0)</f>
        <v>2481922.5399999996</v>
      </c>
      <c r="AH39" s="19">
        <f>VLOOKUP(A39,AuxOPEXSaneparOriginal!$B$4:$AU$177,46,0)</f>
        <v>24453433.270000003</v>
      </c>
      <c r="AI39" s="19">
        <f>VLOOKUP(A39,AuxOPEXSaneparOriginal!$B$4:$AV$177,47,0)</f>
        <v>0</v>
      </c>
      <c r="AJ39" s="58">
        <f t="shared" si="53"/>
        <v>28863970.760000005</v>
      </c>
      <c r="AK39" s="58">
        <f t="shared" si="54"/>
        <v>31339168.452500004</v>
      </c>
      <c r="AL39" s="58">
        <f t="shared" si="55"/>
        <v>28693149.105000004</v>
      </c>
      <c r="AN39" s="167">
        <f t="shared" si="90"/>
        <v>442877.20999999996</v>
      </c>
      <c r="AO39" s="168">
        <f t="shared" si="91"/>
        <v>852461.41999999993</v>
      </c>
      <c r="AP39" s="57">
        <f t="shared" si="92"/>
        <v>20896.45</v>
      </c>
      <c r="AQ39" s="57">
        <f t="shared" si="93"/>
        <v>229118.90000000002</v>
      </c>
      <c r="AR39" s="57">
        <f t="shared" si="94"/>
        <v>980114.49</v>
      </c>
      <c r="AS39" s="57">
        <f t="shared" si="95"/>
        <v>32268683.130000006</v>
      </c>
      <c r="AT39" s="57">
        <f t="shared" si="96"/>
        <v>0</v>
      </c>
      <c r="AU39" s="58">
        <f t="shared" si="57"/>
        <v>34794151.600000009</v>
      </c>
      <c r="AV39" s="57">
        <f t="shared" si="97"/>
        <v>500496.16000000003</v>
      </c>
      <c r="AW39" s="57">
        <f t="shared" si="98"/>
        <v>1104501.3500000001</v>
      </c>
      <c r="AX39" s="57">
        <f t="shared" si="99"/>
        <v>146150.29</v>
      </c>
      <c r="AY39" s="57">
        <f t="shared" si="100"/>
        <v>291799.38</v>
      </c>
      <c r="AZ39" s="57">
        <f t="shared" si="101"/>
        <v>1074126.4200000002</v>
      </c>
      <c r="BA39" s="57">
        <f t="shared" si="102"/>
        <v>30059150.399999999</v>
      </c>
      <c r="BB39" s="57">
        <f t="shared" si="103"/>
        <v>0</v>
      </c>
      <c r="BC39" s="58">
        <f t="shared" si="58"/>
        <v>33176224</v>
      </c>
      <c r="BD39" s="57">
        <f t="shared" si="104"/>
        <v>601727.31000000006</v>
      </c>
      <c r="BE39" s="57">
        <f t="shared" si="105"/>
        <v>773809.49999999988</v>
      </c>
      <c r="BF39" s="57">
        <f t="shared" si="106"/>
        <v>219192.15999999997</v>
      </c>
      <c r="BG39" s="57">
        <f t="shared" si="107"/>
        <v>360099.61</v>
      </c>
      <c r="BH39" s="57">
        <f t="shared" si="108"/>
        <v>1252285.4900000002</v>
      </c>
      <c r="BI39" s="57">
        <f t="shared" si="109"/>
        <v>25315213.380000006</v>
      </c>
      <c r="BJ39" s="57">
        <f t="shared" si="110"/>
        <v>0</v>
      </c>
      <c r="BK39" s="58">
        <f t="shared" si="64"/>
        <v>28522327.450000007</v>
      </c>
      <c r="BL39" s="57">
        <f t="shared" si="111"/>
        <v>585816.19000000006</v>
      </c>
      <c r="BM39" s="57">
        <f t="shared" si="112"/>
        <v>778872.8</v>
      </c>
      <c r="BN39" s="57">
        <f t="shared" si="113"/>
        <v>244394.22000000003</v>
      </c>
      <c r="BO39" s="57">
        <f t="shared" si="114"/>
        <v>319531.74000000005</v>
      </c>
      <c r="BP39" s="57">
        <f t="shared" si="115"/>
        <v>2481922.5399999996</v>
      </c>
      <c r="BQ39" s="57">
        <f t="shared" si="116"/>
        <v>24453433.270000003</v>
      </c>
      <c r="BR39" s="57">
        <f t="shared" si="117"/>
        <v>0</v>
      </c>
      <c r="BS39" s="58">
        <f t="shared" si="72"/>
        <v>28863970.760000005</v>
      </c>
      <c r="BT39" s="58">
        <f t="shared" si="73"/>
        <v>31339168.452500004</v>
      </c>
      <c r="BU39" s="58">
        <f t="shared" si="74"/>
        <v>28693149.105000004</v>
      </c>
      <c r="BW39" s="60">
        <f t="shared" si="75"/>
        <v>34794151.600000009</v>
      </c>
      <c r="BX39" s="132">
        <f t="shared" si="76"/>
        <v>33176224</v>
      </c>
      <c r="BY39" s="132">
        <f t="shared" si="77"/>
        <v>28522327.450000007</v>
      </c>
      <c r="BZ39" s="132">
        <f t="shared" si="78"/>
        <v>28863970.760000005</v>
      </c>
      <c r="CA39" s="60">
        <f t="shared" si="118"/>
        <v>31339168.452500004</v>
      </c>
      <c r="CB39" s="58">
        <f t="shared" si="119"/>
        <v>31020097.380000003</v>
      </c>
      <c r="CD39" s="60">
        <f t="shared" si="79"/>
        <v>39525735.208365649</v>
      </c>
      <c r="CE39" s="132">
        <f t="shared" si="80"/>
        <v>36222275.7832032</v>
      </c>
      <c r="CF39" s="132">
        <f t="shared" si="81"/>
        <v>30153602.071615111</v>
      </c>
      <c r="CG39" s="132">
        <f t="shared" ref="CG39:CG57" si="126">BZ39</f>
        <v>28863970.760000005</v>
      </c>
      <c r="CH39" s="60">
        <f t="shared" si="120"/>
        <v>33691395.955795988</v>
      </c>
      <c r="CI39" s="58">
        <f t="shared" si="121"/>
        <v>33187938.927409157</v>
      </c>
      <c r="CK39" s="61">
        <f t="shared" si="122"/>
        <v>-8.3577431456942741E-2</v>
      </c>
      <c r="CL39" s="62">
        <f t="shared" si="123"/>
        <v>-0.1675398240549596</v>
      </c>
      <c r="CM39" s="63">
        <f t="shared" si="124"/>
        <v>-4.2768731528399773E-2</v>
      </c>
      <c r="CN39" s="61">
        <f t="shared" si="125"/>
        <v>-0.26974234361892591</v>
      </c>
      <c r="CO39" s="29"/>
      <c r="CP39" s="61">
        <f t="shared" si="82"/>
        <v>1.6650801387411606E-2</v>
      </c>
      <c r="CQ39" s="62">
        <f t="shared" si="83"/>
        <v>1.5596776950208113E-2</v>
      </c>
      <c r="CR39" s="63">
        <f t="shared" si="84"/>
        <v>1.2521984574892297E-2</v>
      </c>
      <c r="CS39" s="61">
        <f t="shared" si="85"/>
        <v>1.1926110250554884E-2</v>
      </c>
      <c r="CU39" s="60">
        <f t="shared" si="86"/>
        <v>100</v>
      </c>
      <c r="CV39" s="132">
        <f t="shared" si="87"/>
        <v>91.642256854305728</v>
      </c>
      <c r="CW39" s="132">
        <f t="shared" si="88"/>
        <v>76.288529264935917</v>
      </c>
      <c r="CX39" s="131">
        <f t="shared" si="89"/>
        <v>73.025765638107416</v>
      </c>
    </row>
    <row r="40" spans="1:102">
      <c r="A40" s="29">
        <v>106</v>
      </c>
      <c r="B40" s="29" t="s">
        <v>2</v>
      </c>
      <c r="C40" s="55" t="s">
        <v>69</v>
      </c>
      <c r="D40" s="56">
        <v>0</v>
      </c>
      <c r="E40" s="57">
        <f>VLOOKUP(A40,AuxOPEXSaneparOriginal!$B$4:$F$177,3,0)</f>
        <v>0</v>
      </c>
      <c r="F40" s="156">
        <f>VLOOKUP(A40,AuxOPEXSaneparOriginal!$B$4:$F$177,4,0)</f>
        <v>0</v>
      </c>
      <c r="G40" s="57">
        <f>VLOOKUP(A40,AuxOPEXSaneparOriginal!$B$4:$K$177,8,0)</f>
        <v>0</v>
      </c>
      <c r="H40" s="156">
        <f>VLOOKUP(A40,AuxOPEXSaneparOriginal!$B$4:$K$177,9,0)</f>
        <v>0</v>
      </c>
      <c r="I40" s="57">
        <f>VLOOKUP(A40,AuxOPEXSaneparOriginal!$B$4:$N$177,13,0)</f>
        <v>0</v>
      </c>
      <c r="J40" s="57">
        <f>VLOOKUP(A40,AuxOPEXSaneparOriginal!$B$4:$Q$177,16,0)</f>
        <v>7861857.9499999993</v>
      </c>
      <c r="K40" s="57">
        <f>VLOOKUP(A40,AuxOPEXSaneparOriginal!$B$4:$V$177,21,0)</f>
        <v>0</v>
      </c>
      <c r="L40" s="58">
        <f t="shared" si="50"/>
        <v>7861857.9499999993</v>
      </c>
      <c r="M40" s="19">
        <f>VLOOKUP(A40,AuxOPEXSaneparOriginal!$B$4:$AB$177,27,0)</f>
        <v>0</v>
      </c>
      <c r="N40" s="156">
        <f>VLOOKUP(A40,AuxOPEXSaneparOriginal!$B$4:$AC$177,28,0)</f>
        <v>0</v>
      </c>
      <c r="O40" s="156">
        <f>VLOOKUP(A40,AuxOPEXSaneparOriginal!$B$4:$AD$177,29,0)</f>
        <v>0</v>
      </c>
      <c r="P40" s="156">
        <f>VLOOKUP(A40,AuxOPEXSaneparOriginal!$B$4:$AE$177,30,0)</f>
        <v>0</v>
      </c>
      <c r="Q40" s="19">
        <f>VLOOKUP(A40,AuxOPEXSaneparOriginal!$B$4:$AF$177,31,0)</f>
        <v>0</v>
      </c>
      <c r="R40" s="19">
        <f>VLOOKUP(A40,AuxOPEXSaneparOriginal!$B$4:$AG$177,32,0)</f>
        <v>7486624.0999999996</v>
      </c>
      <c r="S40" s="19">
        <f>VLOOKUP(A40,AuxOPEXSaneparOriginal!$B$4:$AH$177,33,0)</f>
        <v>0</v>
      </c>
      <c r="T40" s="58">
        <f t="shared" si="51"/>
        <v>7486624.0999999996</v>
      </c>
      <c r="U40" s="156">
        <f>VLOOKUP(A40,AuxOPEXSaneparOriginal!$B$4:$AI$177,34,0)</f>
        <v>0</v>
      </c>
      <c r="V40" s="156">
        <f>VLOOKUP(A40,AuxOPEXSaneparOriginal!$B$4:$AJ$177,35,0)</f>
        <v>0</v>
      </c>
      <c r="W40" s="156">
        <f>VLOOKUP(A40,AuxOPEXSaneparOriginal!$B$4:$AK$177,36,0)</f>
        <v>0</v>
      </c>
      <c r="X40" s="19">
        <f>+VLOOKUP(A40,AuxOPEXSaneparOriginal!$B$4:$AL$177,37,0)</f>
        <v>0</v>
      </c>
      <c r="Y40" s="19">
        <f>VLOOKUP(A40,AuxOPEXSaneparOriginal!$B$4:$AM$177,38,0)</f>
        <v>0</v>
      </c>
      <c r="Z40" s="19">
        <f>VLOOKUP(A40,AuxOPEXSaneparOriginal!$B$4:$AN$177,39,0)</f>
        <v>6844805.3199999994</v>
      </c>
      <c r="AA40" s="19">
        <f>VLOOKUP(A40,AuxOPEXSaneparOriginal!$B$4:$AO$177,40,0)</f>
        <v>0</v>
      </c>
      <c r="AB40" s="58">
        <f t="shared" si="52"/>
        <v>6844805.3199999994</v>
      </c>
      <c r="AC40" s="156">
        <f>VLOOKUP(A40,AuxOPEXSaneparOriginal!$B$4:$AP$177,41,0)</f>
        <v>0</v>
      </c>
      <c r="AD40" s="156">
        <f>+VLOOKUP(A40,AuxOPEXSaneparOriginal!$B$4:$AQ$177,42,0)</f>
        <v>0</v>
      </c>
      <c r="AE40" s="156">
        <f>VLOOKUP(A40,AuxOPEXSaneparOriginal!$B$4:$AR$177,43,0)</f>
        <v>0</v>
      </c>
      <c r="AF40" s="156">
        <f>+VLOOKUP(A40,AuxOPEXSaneparOriginal!$B$4:$AS$177,44,0)</f>
        <v>0</v>
      </c>
      <c r="AG40" s="19">
        <f>VLOOKUP(A40,AuxOPEXSaneparOriginal!$B$4:$AT$177,45,0)</f>
        <v>0</v>
      </c>
      <c r="AH40" s="19">
        <f>VLOOKUP(A40,AuxOPEXSaneparOriginal!$B$4:$AU$177,46,0)</f>
        <v>7262801.0099999998</v>
      </c>
      <c r="AI40" s="19">
        <f>VLOOKUP(A40,AuxOPEXSaneparOriginal!$B$4:$AV$177,47,0)</f>
        <v>0</v>
      </c>
      <c r="AJ40" s="58">
        <f t="shared" si="53"/>
        <v>7262801.0099999998</v>
      </c>
      <c r="AK40" s="58">
        <f t="shared" si="54"/>
        <v>7364022.0949999997</v>
      </c>
      <c r="AL40" s="58">
        <f t="shared" si="55"/>
        <v>7053803.1649999991</v>
      </c>
      <c r="AN40" s="167">
        <f t="shared" si="90"/>
        <v>0</v>
      </c>
      <c r="AO40" s="168">
        <f t="shared" si="91"/>
        <v>0</v>
      </c>
      <c r="AP40" s="57">
        <f t="shared" si="92"/>
        <v>0</v>
      </c>
      <c r="AQ40" s="57">
        <f t="shared" si="93"/>
        <v>0</v>
      </c>
      <c r="AR40" s="57">
        <f t="shared" si="94"/>
        <v>0</v>
      </c>
      <c r="AS40" s="57">
        <f t="shared" si="95"/>
        <v>7861857.9499999993</v>
      </c>
      <c r="AT40" s="57">
        <f t="shared" si="96"/>
        <v>0</v>
      </c>
      <c r="AU40" s="58">
        <f t="shared" si="57"/>
        <v>7861857.9499999993</v>
      </c>
      <c r="AV40" s="57">
        <f t="shared" si="97"/>
        <v>0</v>
      </c>
      <c r="AW40" s="57">
        <f t="shared" si="98"/>
        <v>0</v>
      </c>
      <c r="AX40" s="57">
        <f t="shared" si="99"/>
        <v>0</v>
      </c>
      <c r="AY40" s="57">
        <f t="shared" si="100"/>
        <v>0</v>
      </c>
      <c r="AZ40" s="57">
        <f t="shared" si="101"/>
        <v>0</v>
      </c>
      <c r="BA40" s="57">
        <f t="shared" si="102"/>
        <v>7486624.0999999996</v>
      </c>
      <c r="BB40" s="57">
        <f t="shared" si="103"/>
        <v>0</v>
      </c>
      <c r="BC40" s="58">
        <f t="shared" si="58"/>
        <v>7486624.0999999996</v>
      </c>
      <c r="BD40" s="57">
        <f t="shared" si="104"/>
        <v>0</v>
      </c>
      <c r="BE40" s="57">
        <f t="shared" si="105"/>
        <v>0</v>
      </c>
      <c r="BF40" s="57">
        <f t="shared" si="106"/>
        <v>0</v>
      </c>
      <c r="BG40" s="57">
        <f t="shared" si="107"/>
        <v>0</v>
      </c>
      <c r="BH40" s="57">
        <f t="shared" si="108"/>
        <v>0</v>
      </c>
      <c r="BI40" s="57">
        <f t="shared" si="109"/>
        <v>6844805.3199999994</v>
      </c>
      <c r="BJ40" s="57">
        <f t="shared" si="110"/>
        <v>0</v>
      </c>
      <c r="BK40" s="58">
        <f t="shared" si="64"/>
        <v>6844805.3199999994</v>
      </c>
      <c r="BL40" s="57">
        <f t="shared" si="111"/>
        <v>0</v>
      </c>
      <c r="BM40" s="57">
        <f t="shared" si="112"/>
        <v>0</v>
      </c>
      <c r="BN40" s="57">
        <f t="shared" si="113"/>
        <v>0</v>
      </c>
      <c r="BO40" s="57">
        <f t="shared" si="114"/>
        <v>0</v>
      </c>
      <c r="BP40" s="57">
        <f t="shared" si="115"/>
        <v>0</v>
      </c>
      <c r="BQ40" s="57">
        <f t="shared" si="116"/>
        <v>7262801.0099999998</v>
      </c>
      <c r="BR40" s="57">
        <f t="shared" si="117"/>
        <v>0</v>
      </c>
      <c r="BS40" s="58">
        <f t="shared" si="72"/>
        <v>7262801.0099999998</v>
      </c>
      <c r="BT40" s="58">
        <f t="shared" si="73"/>
        <v>7364022.0949999997</v>
      </c>
      <c r="BU40" s="58">
        <f t="shared" si="74"/>
        <v>7053803.1649999991</v>
      </c>
      <c r="BW40" s="60">
        <f t="shared" si="75"/>
        <v>7861857.9499999993</v>
      </c>
      <c r="BX40" s="132">
        <f t="shared" si="76"/>
        <v>7486624.0999999996</v>
      </c>
      <c r="BY40" s="132">
        <f t="shared" si="77"/>
        <v>6844805.3199999994</v>
      </c>
      <c r="BZ40" s="132">
        <f t="shared" si="78"/>
        <v>7262801.0099999998</v>
      </c>
      <c r="CA40" s="60">
        <f t="shared" si="118"/>
        <v>7364022.0949999988</v>
      </c>
      <c r="CB40" s="58">
        <f t="shared" si="119"/>
        <v>7374712.5549999997</v>
      </c>
      <c r="CD40" s="60">
        <f t="shared" si="79"/>
        <v>8930975.5027188044</v>
      </c>
      <c r="CE40" s="132">
        <f t="shared" si="80"/>
        <v>8174003.2511046296</v>
      </c>
      <c r="CF40" s="132">
        <f t="shared" si="81"/>
        <v>7236279.5861862274</v>
      </c>
      <c r="CG40" s="132">
        <f t="shared" si="126"/>
        <v>7262801.0099999998</v>
      </c>
      <c r="CH40" s="60">
        <f t="shared" si="120"/>
        <v>7901014.8375024144</v>
      </c>
      <c r="CI40" s="58">
        <f t="shared" si="121"/>
        <v>7718402.1305523142</v>
      </c>
      <c r="CK40" s="61">
        <f t="shared" si="122"/>
        <v>-8.4758070535937979E-2</v>
      </c>
      <c r="CL40" s="62">
        <f t="shared" si="123"/>
        <v>-0.11472024614030818</v>
      </c>
      <c r="CM40" s="63">
        <f t="shared" si="124"/>
        <v>3.6650634484052258E-3</v>
      </c>
      <c r="CN40" s="61">
        <f t="shared" si="125"/>
        <v>-0.1867852500783338</v>
      </c>
      <c r="CO40" s="29"/>
      <c r="CP40" s="61">
        <f t="shared" si="82"/>
        <v>3.7623057106382475E-3</v>
      </c>
      <c r="CQ40" s="62">
        <f t="shared" si="83"/>
        <v>3.5196050701174599E-3</v>
      </c>
      <c r="CR40" s="63">
        <f t="shared" si="84"/>
        <v>3.0050334000769176E-3</v>
      </c>
      <c r="CS40" s="61">
        <f t="shared" si="85"/>
        <v>3.0008679780515876E-3</v>
      </c>
      <c r="CU40" s="60">
        <f t="shared" si="86"/>
        <v>100</v>
      </c>
      <c r="CV40" s="132">
        <f t="shared" si="87"/>
        <v>91.524192946406203</v>
      </c>
      <c r="CW40" s="132">
        <f t="shared" si="88"/>
        <v>81.024515003801426</v>
      </c>
      <c r="CX40" s="131">
        <f t="shared" si="89"/>
        <v>81.321474992166614</v>
      </c>
    </row>
    <row r="41" spans="1:102">
      <c r="A41" s="29">
        <v>111</v>
      </c>
      <c r="B41" s="29" t="s">
        <v>2</v>
      </c>
      <c r="C41" s="55" t="s">
        <v>70</v>
      </c>
      <c r="D41" s="56">
        <v>0</v>
      </c>
      <c r="E41" s="57">
        <f>VLOOKUP(A41,AuxOPEXSaneparOriginal!$B$4:$F$177,3,0)</f>
        <v>1318815.6900000004</v>
      </c>
      <c r="F41" s="156">
        <f>VLOOKUP(A41,AuxOPEXSaneparOriginal!$B$4:$F$177,4,0)</f>
        <v>1878809.370000001</v>
      </c>
      <c r="G41" s="57">
        <f>VLOOKUP(A41,AuxOPEXSaneparOriginal!$B$4:$K$177,8,0)</f>
        <v>487294.62999999995</v>
      </c>
      <c r="H41" s="156">
        <f>VLOOKUP(A41,AuxOPEXSaneparOriginal!$B$4:$K$177,9,0)</f>
        <v>534107.73000000021</v>
      </c>
      <c r="I41" s="57">
        <f>VLOOKUP(A41,AuxOPEXSaneparOriginal!$B$4:$N$177,13,0)</f>
        <v>105837.69000000002</v>
      </c>
      <c r="J41" s="57">
        <f>VLOOKUP(A41,AuxOPEXSaneparOriginal!$B$4:$Q$177,16,0)</f>
        <v>5502006.8399999999</v>
      </c>
      <c r="K41" s="57">
        <f>VLOOKUP(A41,AuxOPEXSaneparOriginal!$B$4:$V$177,21,0)</f>
        <v>0</v>
      </c>
      <c r="L41" s="58">
        <f t="shared" si="50"/>
        <v>9826871.950000003</v>
      </c>
      <c r="M41" s="19">
        <f>VLOOKUP(A41,AuxOPEXSaneparOriginal!$B$4:$AB$177,27,0)</f>
        <v>1356571.6300000001</v>
      </c>
      <c r="N41" s="156">
        <f>VLOOKUP(A41,AuxOPEXSaneparOriginal!$B$4:$AC$177,28,0)</f>
        <v>1999107.8399999985</v>
      </c>
      <c r="O41" s="156">
        <f>VLOOKUP(A41,AuxOPEXSaneparOriginal!$B$4:$AD$177,29,0)</f>
        <v>591621.36999999988</v>
      </c>
      <c r="P41" s="156">
        <f>VLOOKUP(A41,AuxOPEXSaneparOriginal!$B$4:$AE$177,30,0)</f>
        <v>587679.68000000017</v>
      </c>
      <c r="Q41" s="19">
        <f>VLOOKUP(A41,AuxOPEXSaneparOriginal!$B$4:$AF$177,31,0)</f>
        <v>108289.08000000002</v>
      </c>
      <c r="R41" s="19">
        <f>VLOOKUP(A41,AuxOPEXSaneparOriginal!$B$4:$AG$177,32,0)</f>
        <v>5825523.330000001</v>
      </c>
      <c r="S41" s="19">
        <f>VLOOKUP(A41,AuxOPEXSaneparOriginal!$B$4:$AH$177,33,0)</f>
        <v>0</v>
      </c>
      <c r="T41" s="58">
        <f t="shared" si="51"/>
        <v>10468792.93</v>
      </c>
      <c r="U41" s="156">
        <f>VLOOKUP(A41,AuxOPEXSaneparOriginal!$B$4:$AI$177,34,0)</f>
        <v>1409971.6500000004</v>
      </c>
      <c r="V41" s="156">
        <f>VLOOKUP(A41,AuxOPEXSaneparOriginal!$B$4:$AJ$177,35,0)</f>
        <v>2246663.9099999997</v>
      </c>
      <c r="W41" s="156">
        <f>VLOOKUP(A41,AuxOPEXSaneparOriginal!$B$4:$AK$177,36,0)</f>
        <v>656794.18000000005</v>
      </c>
      <c r="X41" s="19">
        <f>+VLOOKUP(A41,AuxOPEXSaneparOriginal!$B$4:$AL$177,37,0)</f>
        <v>744584.40000000014</v>
      </c>
      <c r="Y41" s="19">
        <f>VLOOKUP(A41,AuxOPEXSaneparOriginal!$B$4:$AM$177,38,0)</f>
        <v>107208.98000000001</v>
      </c>
      <c r="Z41" s="19">
        <f>VLOOKUP(A41,AuxOPEXSaneparOriginal!$B$4:$AN$177,39,0)</f>
        <v>6156055.0600000005</v>
      </c>
      <c r="AA41" s="19">
        <f>VLOOKUP(A41,AuxOPEXSaneparOriginal!$B$4:$AO$177,40,0)</f>
        <v>0</v>
      </c>
      <c r="AB41" s="58">
        <f t="shared" si="52"/>
        <v>11321278.180000002</v>
      </c>
      <c r="AC41" s="156">
        <f>VLOOKUP(A41,AuxOPEXSaneparOriginal!$B$4:$AP$177,41,0)</f>
        <v>1552948.4200000006</v>
      </c>
      <c r="AD41" s="156">
        <f>+VLOOKUP(A41,AuxOPEXSaneparOriginal!$B$4:$AQ$177,42,0)</f>
        <v>2324697.3000000017</v>
      </c>
      <c r="AE41" s="156">
        <f>VLOOKUP(A41,AuxOPEXSaneparOriginal!$B$4:$AR$177,43,0)</f>
        <v>742392.97</v>
      </c>
      <c r="AF41" s="156">
        <f>+VLOOKUP(A41,AuxOPEXSaneparOriginal!$B$4:$AS$177,44,0)</f>
        <v>922880.28999999992</v>
      </c>
      <c r="AG41" s="19">
        <f>VLOOKUP(A41,AuxOPEXSaneparOriginal!$B$4:$AT$177,45,0)</f>
        <v>136197.09999999995</v>
      </c>
      <c r="AH41" s="19">
        <f>VLOOKUP(A41,AuxOPEXSaneparOriginal!$B$4:$AU$177,46,0)</f>
        <v>6631773.3099999987</v>
      </c>
      <c r="AI41" s="19">
        <f>VLOOKUP(A41,AuxOPEXSaneparOriginal!$B$4:$AV$177,47,0)</f>
        <v>0</v>
      </c>
      <c r="AJ41" s="58">
        <f t="shared" si="53"/>
        <v>12310889.390000001</v>
      </c>
      <c r="AK41" s="58">
        <f t="shared" si="54"/>
        <v>10981958.112500001</v>
      </c>
      <c r="AL41" s="58">
        <f t="shared" si="55"/>
        <v>11816083.785</v>
      </c>
      <c r="AN41" s="167">
        <f t="shared" si="90"/>
        <v>1318815.6900000004</v>
      </c>
      <c r="AO41" s="168">
        <f t="shared" si="91"/>
        <v>1878809.370000001</v>
      </c>
      <c r="AP41" s="57">
        <f t="shared" si="92"/>
        <v>487294.62999999995</v>
      </c>
      <c r="AQ41" s="57">
        <f t="shared" si="93"/>
        <v>534107.73000000021</v>
      </c>
      <c r="AR41" s="57">
        <f t="shared" si="94"/>
        <v>105837.69000000002</v>
      </c>
      <c r="AS41" s="57">
        <f t="shared" si="95"/>
        <v>5502006.8399999999</v>
      </c>
      <c r="AT41" s="57">
        <f t="shared" si="96"/>
        <v>0</v>
      </c>
      <c r="AU41" s="58">
        <f t="shared" si="57"/>
        <v>9826871.950000003</v>
      </c>
      <c r="AV41" s="57">
        <f t="shared" si="97"/>
        <v>1356571.6300000001</v>
      </c>
      <c r="AW41" s="57">
        <f t="shared" si="98"/>
        <v>1999107.8399999985</v>
      </c>
      <c r="AX41" s="57">
        <f t="shared" si="99"/>
        <v>591621.36999999988</v>
      </c>
      <c r="AY41" s="57">
        <f t="shared" si="100"/>
        <v>587679.68000000017</v>
      </c>
      <c r="AZ41" s="57">
        <f t="shared" si="101"/>
        <v>108289.08000000002</v>
      </c>
      <c r="BA41" s="57">
        <f t="shared" si="102"/>
        <v>5825523.330000001</v>
      </c>
      <c r="BB41" s="57">
        <f t="shared" si="103"/>
        <v>0</v>
      </c>
      <c r="BC41" s="58">
        <f t="shared" si="58"/>
        <v>10468792.93</v>
      </c>
      <c r="BD41" s="57">
        <f t="shared" si="104"/>
        <v>1409971.6500000004</v>
      </c>
      <c r="BE41" s="57">
        <f t="shared" si="105"/>
        <v>2246663.9099999997</v>
      </c>
      <c r="BF41" s="57">
        <f t="shared" si="106"/>
        <v>656794.18000000005</v>
      </c>
      <c r="BG41" s="57">
        <f t="shared" si="107"/>
        <v>744584.40000000014</v>
      </c>
      <c r="BH41" s="57">
        <f t="shared" si="108"/>
        <v>107208.98000000001</v>
      </c>
      <c r="BI41" s="57">
        <f t="shared" si="109"/>
        <v>6156055.0600000005</v>
      </c>
      <c r="BJ41" s="57">
        <f t="shared" si="110"/>
        <v>0</v>
      </c>
      <c r="BK41" s="58">
        <f t="shared" si="64"/>
        <v>11321278.180000002</v>
      </c>
      <c r="BL41" s="57">
        <f t="shared" si="111"/>
        <v>1552948.4200000006</v>
      </c>
      <c r="BM41" s="57">
        <f t="shared" si="112"/>
        <v>2324697.3000000017</v>
      </c>
      <c r="BN41" s="57">
        <f t="shared" si="113"/>
        <v>742392.97</v>
      </c>
      <c r="BO41" s="57">
        <f t="shared" si="114"/>
        <v>922880.28999999992</v>
      </c>
      <c r="BP41" s="57">
        <f t="shared" si="115"/>
        <v>136197.09999999995</v>
      </c>
      <c r="BQ41" s="57">
        <f t="shared" si="116"/>
        <v>6631773.3099999987</v>
      </c>
      <c r="BR41" s="57">
        <f t="shared" si="117"/>
        <v>0</v>
      </c>
      <c r="BS41" s="58">
        <f t="shared" si="72"/>
        <v>12310889.390000001</v>
      </c>
      <c r="BT41" s="58">
        <f t="shared" si="73"/>
        <v>10981958.112500001</v>
      </c>
      <c r="BU41" s="58">
        <f t="shared" si="74"/>
        <v>11816083.785</v>
      </c>
      <c r="BW41" s="60">
        <f t="shared" si="75"/>
        <v>9826871.950000003</v>
      </c>
      <c r="BX41" s="132">
        <f t="shared" si="76"/>
        <v>10468792.93</v>
      </c>
      <c r="BY41" s="132">
        <f t="shared" si="77"/>
        <v>11321278.180000002</v>
      </c>
      <c r="BZ41" s="132">
        <f t="shared" si="78"/>
        <v>12310889.390000001</v>
      </c>
      <c r="CA41" s="60">
        <f t="shared" si="118"/>
        <v>10981958.112500001</v>
      </c>
      <c r="CB41" s="58">
        <f t="shared" si="119"/>
        <v>10895035.555</v>
      </c>
      <c r="CD41" s="60">
        <f t="shared" si="79"/>
        <v>11163207.630049407</v>
      </c>
      <c r="CE41" s="132">
        <f t="shared" si="80"/>
        <v>11429977.824712899</v>
      </c>
      <c r="CF41" s="132">
        <f t="shared" si="81"/>
        <v>11968774.910820924</v>
      </c>
      <c r="CG41" s="132">
        <f t="shared" si="126"/>
        <v>12310889.390000001</v>
      </c>
      <c r="CH41" s="60">
        <f t="shared" si="120"/>
        <v>11718212.438895807</v>
      </c>
      <c r="CI41" s="58">
        <f t="shared" si="121"/>
        <v>11699376.367766911</v>
      </c>
      <c r="CK41" s="61">
        <f t="shared" si="122"/>
        <v>2.3897270704290374E-2</v>
      </c>
      <c r="CL41" s="62">
        <f t="shared" si="123"/>
        <v>4.7138944131902338E-2</v>
      </c>
      <c r="CM41" s="63">
        <f t="shared" si="124"/>
        <v>2.8583917880331544E-2</v>
      </c>
      <c r="CN41" s="61">
        <f t="shared" si="125"/>
        <v>0.1028093177144922</v>
      </c>
      <c r="CO41" s="29"/>
      <c r="CP41" s="61">
        <f t="shared" si="82"/>
        <v>4.7026665567260501E-3</v>
      </c>
      <c r="CQ41" s="62">
        <f t="shared" si="83"/>
        <v>4.9215796308562923E-3</v>
      </c>
      <c r="CR41" s="63">
        <f t="shared" si="84"/>
        <v>4.9703121523494292E-3</v>
      </c>
      <c r="CS41" s="61">
        <f t="shared" si="85"/>
        <v>5.0866537167849578E-3</v>
      </c>
      <c r="CU41" s="60">
        <f t="shared" si="86"/>
        <v>100</v>
      </c>
      <c r="CV41" s="132">
        <f t="shared" si="87"/>
        <v>102.38972707042903</v>
      </c>
      <c r="CW41" s="132">
        <f t="shared" si="88"/>
        <v>107.21627069448274</v>
      </c>
      <c r="CX41" s="131">
        <f t="shared" si="89"/>
        <v>110.28093177144922</v>
      </c>
    </row>
    <row r="42" spans="1:102">
      <c r="A42" s="29">
        <v>103</v>
      </c>
      <c r="B42" s="29" t="s">
        <v>2</v>
      </c>
      <c r="C42" s="55" t="s">
        <v>71</v>
      </c>
      <c r="D42" s="56">
        <v>0</v>
      </c>
      <c r="E42" s="57">
        <f>VLOOKUP(A42,AuxOPEXSaneparOriginal!$B$4:$F$177,3,0)</f>
        <v>295997.54000000004</v>
      </c>
      <c r="F42" s="156">
        <f>VLOOKUP(A42,AuxOPEXSaneparOriginal!$B$4:$F$177,4,0)</f>
        <v>246174.99000000002</v>
      </c>
      <c r="G42" s="57">
        <f>VLOOKUP(A42,AuxOPEXSaneparOriginal!$B$4:$K$177,8,0)</f>
        <v>75834.23</v>
      </c>
      <c r="H42" s="156">
        <f>VLOOKUP(A42,AuxOPEXSaneparOriginal!$B$4:$K$177,9,0)</f>
        <v>58757.020000000004</v>
      </c>
      <c r="I42" s="57">
        <f>VLOOKUP(A42,AuxOPEXSaneparOriginal!$B$4:$N$177,13,0)</f>
        <v>483775.41000000003</v>
      </c>
      <c r="J42" s="57">
        <f>VLOOKUP(A42,AuxOPEXSaneparOriginal!$B$4:$Q$177,16,0)</f>
        <v>770968.38000000012</v>
      </c>
      <c r="K42" s="57">
        <f>VLOOKUP(A42,AuxOPEXSaneparOriginal!$B$4:$V$177,21,0)</f>
        <v>0</v>
      </c>
      <c r="L42" s="58">
        <f t="shared" si="50"/>
        <v>1931507.57</v>
      </c>
      <c r="M42" s="19">
        <f>VLOOKUP(A42,AuxOPEXSaneparOriginal!$B$4:$AB$177,27,0)</f>
        <v>198617.95</v>
      </c>
      <c r="N42" s="156">
        <f>VLOOKUP(A42,AuxOPEXSaneparOriginal!$B$4:$AC$177,28,0)</f>
        <v>207460.05000000002</v>
      </c>
      <c r="O42" s="156">
        <f>VLOOKUP(A42,AuxOPEXSaneparOriginal!$B$4:$AD$177,29,0)</f>
        <v>131250.78</v>
      </c>
      <c r="P42" s="156">
        <f>VLOOKUP(A42,AuxOPEXSaneparOriginal!$B$4:$AE$177,30,0)</f>
        <v>59370.559999999998</v>
      </c>
      <c r="Q42" s="19">
        <f>VLOOKUP(A42,AuxOPEXSaneparOriginal!$B$4:$AF$177,31,0)</f>
        <v>471485.48000000004</v>
      </c>
      <c r="R42" s="19">
        <f>VLOOKUP(A42,AuxOPEXSaneparOriginal!$B$4:$AG$177,32,0)</f>
        <v>885108.67999999993</v>
      </c>
      <c r="S42" s="19">
        <f>VLOOKUP(A42,AuxOPEXSaneparOriginal!$B$4:$AH$177,33,0)</f>
        <v>0</v>
      </c>
      <c r="T42" s="58">
        <f t="shared" si="51"/>
        <v>1953293.5</v>
      </c>
      <c r="U42" s="156">
        <f>VLOOKUP(A42,AuxOPEXSaneparOriginal!$B$4:$AI$177,34,0)</f>
        <v>648651.83000000089</v>
      </c>
      <c r="V42" s="156">
        <f>VLOOKUP(A42,AuxOPEXSaneparOriginal!$B$4:$AJ$177,35,0)</f>
        <v>695444.89000000188</v>
      </c>
      <c r="W42" s="156">
        <f>VLOOKUP(A42,AuxOPEXSaneparOriginal!$B$4:$AK$177,36,0)</f>
        <v>338493.61</v>
      </c>
      <c r="X42" s="19">
        <f>+VLOOKUP(A42,AuxOPEXSaneparOriginal!$B$4:$AL$177,37,0)</f>
        <v>354214.45000000013</v>
      </c>
      <c r="Y42" s="19">
        <f>VLOOKUP(A42,AuxOPEXSaneparOriginal!$B$4:$AM$177,38,0)</f>
        <v>918828.67000000039</v>
      </c>
      <c r="Z42" s="19">
        <f>VLOOKUP(A42,AuxOPEXSaneparOriginal!$B$4:$AN$177,39,0)</f>
        <v>969272.25000000012</v>
      </c>
      <c r="AA42" s="19">
        <f>VLOOKUP(A42,AuxOPEXSaneparOriginal!$B$4:$AO$177,40,0)</f>
        <v>0</v>
      </c>
      <c r="AB42" s="58">
        <f t="shared" si="52"/>
        <v>3924905.7000000034</v>
      </c>
      <c r="AC42" s="156">
        <f>VLOOKUP(A42,AuxOPEXSaneparOriginal!$B$4:$AP$177,41,0)</f>
        <v>1467553.7799999972</v>
      </c>
      <c r="AD42" s="156">
        <f>+VLOOKUP(A42,AuxOPEXSaneparOriginal!$B$4:$AQ$177,42,0)</f>
        <v>1469092.3399999999</v>
      </c>
      <c r="AE42" s="156">
        <f>VLOOKUP(A42,AuxOPEXSaneparOriginal!$B$4:$AR$177,43,0)</f>
        <v>701856.24000000034</v>
      </c>
      <c r="AF42" s="156">
        <f>+VLOOKUP(A42,AuxOPEXSaneparOriginal!$B$4:$AS$177,44,0)</f>
        <v>820865.30999999959</v>
      </c>
      <c r="AG42" s="19">
        <f>VLOOKUP(A42,AuxOPEXSaneparOriginal!$B$4:$AT$177,45,0)</f>
        <v>1219108.3700000008</v>
      </c>
      <c r="AH42" s="19">
        <f>VLOOKUP(A42,AuxOPEXSaneparOriginal!$B$4:$AU$177,46,0)</f>
        <v>1261246.6700000002</v>
      </c>
      <c r="AI42" s="19">
        <f>VLOOKUP(A42,AuxOPEXSaneparOriginal!$B$4:$AV$177,47,0)</f>
        <v>0</v>
      </c>
      <c r="AJ42" s="58">
        <f t="shared" si="53"/>
        <v>6939722.7099999981</v>
      </c>
      <c r="AK42" s="58">
        <f t="shared" si="54"/>
        <v>3687357.3700000006</v>
      </c>
      <c r="AL42" s="58">
        <f t="shared" si="55"/>
        <v>5432314.205000001</v>
      </c>
      <c r="AN42" s="167">
        <f t="shared" si="90"/>
        <v>295997.54000000004</v>
      </c>
      <c r="AO42" s="168">
        <f t="shared" si="91"/>
        <v>246174.99000000002</v>
      </c>
      <c r="AP42" s="57">
        <f t="shared" si="92"/>
        <v>75834.23</v>
      </c>
      <c r="AQ42" s="57">
        <f t="shared" si="93"/>
        <v>58757.020000000004</v>
      </c>
      <c r="AR42" s="57">
        <f t="shared" si="94"/>
        <v>483775.41000000003</v>
      </c>
      <c r="AS42" s="57">
        <f t="shared" si="95"/>
        <v>770968.38000000012</v>
      </c>
      <c r="AT42" s="57">
        <f t="shared" si="96"/>
        <v>0</v>
      </c>
      <c r="AU42" s="58">
        <f t="shared" si="57"/>
        <v>1931507.57</v>
      </c>
      <c r="AV42" s="57">
        <f t="shared" si="97"/>
        <v>198617.95</v>
      </c>
      <c r="AW42" s="57">
        <f t="shared" si="98"/>
        <v>207460.05000000002</v>
      </c>
      <c r="AX42" s="57">
        <f t="shared" si="99"/>
        <v>131250.78</v>
      </c>
      <c r="AY42" s="57">
        <f t="shared" si="100"/>
        <v>59370.559999999998</v>
      </c>
      <c r="AZ42" s="57">
        <f t="shared" si="101"/>
        <v>471485.48000000004</v>
      </c>
      <c r="BA42" s="57">
        <f t="shared" si="102"/>
        <v>885108.67999999993</v>
      </c>
      <c r="BB42" s="57">
        <f t="shared" si="103"/>
        <v>0</v>
      </c>
      <c r="BC42" s="58">
        <f t="shared" si="58"/>
        <v>1953293.5</v>
      </c>
      <c r="BD42" s="57">
        <f t="shared" si="104"/>
        <v>648651.83000000089</v>
      </c>
      <c r="BE42" s="57">
        <f t="shared" si="105"/>
        <v>695444.89000000188</v>
      </c>
      <c r="BF42" s="57">
        <f t="shared" si="106"/>
        <v>338493.61</v>
      </c>
      <c r="BG42" s="57">
        <f t="shared" si="107"/>
        <v>354214.45000000013</v>
      </c>
      <c r="BH42" s="57">
        <f t="shared" si="108"/>
        <v>918828.67000000039</v>
      </c>
      <c r="BI42" s="57">
        <f t="shared" si="109"/>
        <v>969272.25000000012</v>
      </c>
      <c r="BJ42" s="57">
        <f t="shared" si="110"/>
        <v>0</v>
      </c>
      <c r="BK42" s="58">
        <f t="shared" si="64"/>
        <v>3924905.7000000034</v>
      </c>
      <c r="BL42" s="57">
        <f t="shared" si="111"/>
        <v>1467553.7799999972</v>
      </c>
      <c r="BM42" s="57">
        <f t="shared" si="112"/>
        <v>1469092.3399999999</v>
      </c>
      <c r="BN42" s="57">
        <f t="shared" si="113"/>
        <v>701856.24000000034</v>
      </c>
      <c r="BO42" s="57">
        <f t="shared" si="114"/>
        <v>820865.30999999959</v>
      </c>
      <c r="BP42" s="57">
        <f t="shared" si="115"/>
        <v>1219108.3700000008</v>
      </c>
      <c r="BQ42" s="57">
        <f t="shared" si="116"/>
        <v>1261246.6700000002</v>
      </c>
      <c r="BR42" s="57">
        <f t="shared" si="117"/>
        <v>0</v>
      </c>
      <c r="BS42" s="58">
        <f t="shared" si="72"/>
        <v>6939722.7099999981</v>
      </c>
      <c r="BT42" s="58">
        <f t="shared" si="73"/>
        <v>3687357.3700000006</v>
      </c>
      <c r="BU42" s="58">
        <f t="shared" si="74"/>
        <v>5432314.205000001</v>
      </c>
      <c r="BW42" s="60">
        <f t="shared" si="75"/>
        <v>1931507.57</v>
      </c>
      <c r="BX42" s="132">
        <f t="shared" si="76"/>
        <v>1953293.5</v>
      </c>
      <c r="BY42" s="132">
        <f t="shared" si="77"/>
        <v>3924905.7000000034</v>
      </c>
      <c r="BZ42" s="132">
        <f t="shared" si="78"/>
        <v>6939722.7099999981</v>
      </c>
      <c r="CA42" s="60">
        <f t="shared" si="118"/>
        <v>3687357.37</v>
      </c>
      <c r="CB42" s="58">
        <f t="shared" si="119"/>
        <v>2939099.6000000015</v>
      </c>
      <c r="CD42" s="60">
        <f t="shared" si="79"/>
        <v>2194169.2282784032</v>
      </c>
      <c r="CE42" s="132">
        <f t="shared" si="80"/>
        <v>2132633.7753970502</v>
      </c>
      <c r="CF42" s="132">
        <f t="shared" si="81"/>
        <v>4149382.4392095334</v>
      </c>
      <c r="CG42" s="132">
        <f t="shared" si="126"/>
        <v>6939722.7099999981</v>
      </c>
      <c r="CH42" s="60">
        <f t="shared" si="120"/>
        <v>3853977.0382212466</v>
      </c>
      <c r="CI42" s="58">
        <f t="shared" si="121"/>
        <v>3171775.833743968</v>
      </c>
      <c r="CK42" s="61">
        <f t="shared" si="122"/>
        <v>-2.8044989460377701E-2</v>
      </c>
      <c r="CL42" s="62">
        <f t="shared" si="123"/>
        <v>0.94566103523189682</v>
      </c>
      <c r="CM42" s="63">
        <f t="shared" si="124"/>
        <v>0.67247121991532577</v>
      </c>
      <c r="CN42" s="61">
        <f t="shared" si="125"/>
        <v>2.1628019482549519</v>
      </c>
      <c r="CO42" s="29"/>
      <c r="CP42" s="61">
        <f t="shared" si="82"/>
        <v>9.2432628609780544E-4</v>
      </c>
      <c r="CQ42" s="62">
        <f t="shared" si="83"/>
        <v>9.1828060474246059E-4</v>
      </c>
      <c r="CR42" s="63">
        <f t="shared" si="84"/>
        <v>1.723127564518122E-3</v>
      </c>
      <c r="CS42" s="61">
        <f t="shared" si="85"/>
        <v>2.8673774248148347E-3</v>
      </c>
      <c r="CU42" s="60">
        <f t="shared" si="86"/>
        <v>100</v>
      </c>
      <c r="CV42" s="132">
        <f t="shared" si="87"/>
        <v>97.195501053962232</v>
      </c>
      <c r="CW42" s="132">
        <f t="shared" si="88"/>
        <v>189.10949920053508</v>
      </c>
      <c r="CX42" s="131">
        <f t="shared" si="89"/>
        <v>316.28019482549519</v>
      </c>
    </row>
    <row r="43" spans="1:102">
      <c r="A43" s="29">
        <v>107</v>
      </c>
      <c r="B43" s="29" t="s">
        <v>2</v>
      </c>
      <c r="C43" s="55" t="s">
        <v>72</v>
      </c>
      <c r="D43" s="56">
        <v>0</v>
      </c>
      <c r="E43" s="57">
        <f>VLOOKUP(A43,AuxOPEXSaneparOriginal!$B$4:$F$177,3,0)</f>
        <v>80784.14999999998</v>
      </c>
      <c r="F43" s="156">
        <f>VLOOKUP(A43,AuxOPEXSaneparOriginal!$B$4:$F$177,4,0)</f>
        <v>84456.12999999999</v>
      </c>
      <c r="G43" s="57">
        <f>VLOOKUP(A43,AuxOPEXSaneparOriginal!$B$4:$K$177,8,0)</f>
        <v>13265.77</v>
      </c>
      <c r="H43" s="156">
        <f>VLOOKUP(A43,AuxOPEXSaneparOriginal!$B$4:$K$177,9,0)</f>
        <v>15437.619999999999</v>
      </c>
      <c r="I43" s="57">
        <f>VLOOKUP(A43,AuxOPEXSaneparOriginal!$B$4:$N$177,13,0)</f>
        <v>127651.40000000001</v>
      </c>
      <c r="J43" s="57">
        <f>VLOOKUP(A43,AuxOPEXSaneparOriginal!$B$4:$Q$177,16,0)</f>
        <v>545657.87000000011</v>
      </c>
      <c r="K43" s="57">
        <f>VLOOKUP(A43,AuxOPEXSaneparOriginal!$B$4:$V$177,21,0)</f>
        <v>0</v>
      </c>
      <c r="L43" s="58">
        <f t="shared" si="50"/>
        <v>867252.94000000006</v>
      </c>
      <c r="M43" s="19">
        <f>VLOOKUP(A43,AuxOPEXSaneparOriginal!$B$4:$AB$177,27,0)</f>
        <v>67909.349999999991</v>
      </c>
      <c r="N43" s="156">
        <f>VLOOKUP(A43,AuxOPEXSaneparOriginal!$B$4:$AC$177,28,0)</f>
        <v>106946.93</v>
      </c>
      <c r="O43" s="156">
        <f>VLOOKUP(A43,AuxOPEXSaneparOriginal!$B$4:$AD$177,29,0)</f>
        <v>12251.330000000002</v>
      </c>
      <c r="P43" s="156">
        <f>VLOOKUP(A43,AuxOPEXSaneparOriginal!$B$4:$AE$177,30,0)</f>
        <v>30442.989999999998</v>
      </c>
      <c r="Q43" s="19">
        <f>VLOOKUP(A43,AuxOPEXSaneparOriginal!$B$4:$AF$177,31,0)</f>
        <v>113596.84000000003</v>
      </c>
      <c r="R43" s="19">
        <f>VLOOKUP(A43,AuxOPEXSaneparOriginal!$B$4:$AG$177,32,0)</f>
        <v>579934.99</v>
      </c>
      <c r="S43" s="19">
        <f>VLOOKUP(A43,AuxOPEXSaneparOriginal!$B$4:$AH$177,33,0)</f>
        <v>0</v>
      </c>
      <c r="T43" s="58">
        <f t="shared" si="51"/>
        <v>911082.42999999993</v>
      </c>
      <c r="U43" s="156">
        <f>VLOOKUP(A43,AuxOPEXSaneparOriginal!$B$4:$AI$177,34,0)</f>
        <v>89961.97</v>
      </c>
      <c r="V43" s="156">
        <f>VLOOKUP(A43,AuxOPEXSaneparOriginal!$B$4:$AJ$177,35,0)</f>
        <v>54027.810000000005</v>
      </c>
      <c r="W43" s="156">
        <f>VLOOKUP(A43,AuxOPEXSaneparOriginal!$B$4:$AK$177,36,0)</f>
        <v>14397.710000000001</v>
      </c>
      <c r="X43" s="19">
        <f>+VLOOKUP(A43,AuxOPEXSaneparOriginal!$B$4:$AL$177,37,0)</f>
        <v>32019.1</v>
      </c>
      <c r="Y43" s="19">
        <f>VLOOKUP(A43,AuxOPEXSaneparOriginal!$B$4:$AM$177,38,0)</f>
        <v>152893.78</v>
      </c>
      <c r="Z43" s="19">
        <f>VLOOKUP(A43,AuxOPEXSaneparOriginal!$B$4:$AN$177,39,0)</f>
        <v>375135.61999999994</v>
      </c>
      <c r="AA43" s="19">
        <f>VLOOKUP(A43,AuxOPEXSaneparOriginal!$B$4:$AO$177,40,0)</f>
        <v>0</v>
      </c>
      <c r="AB43" s="58">
        <f t="shared" si="52"/>
        <v>718435.99</v>
      </c>
      <c r="AC43" s="156">
        <f>VLOOKUP(A43,AuxOPEXSaneparOriginal!$B$4:$AP$177,41,0)</f>
        <v>47401.619999999995</v>
      </c>
      <c r="AD43" s="156">
        <f>+VLOOKUP(A43,AuxOPEXSaneparOriginal!$B$4:$AQ$177,42,0)</f>
        <v>85372.83</v>
      </c>
      <c r="AE43" s="156">
        <f>VLOOKUP(A43,AuxOPEXSaneparOriginal!$B$4:$AR$177,43,0)</f>
        <v>24640.530000000002</v>
      </c>
      <c r="AF43" s="156">
        <f>+VLOOKUP(A43,AuxOPEXSaneparOriginal!$B$4:$AS$177,44,0)</f>
        <v>43182.890000000007</v>
      </c>
      <c r="AG43" s="19">
        <f>VLOOKUP(A43,AuxOPEXSaneparOriginal!$B$4:$AT$177,45,0)</f>
        <v>96341.58</v>
      </c>
      <c r="AH43" s="19">
        <f>VLOOKUP(A43,AuxOPEXSaneparOriginal!$B$4:$AU$177,46,0)</f>
        <v>467510.9</v>
      </c>
      <c r="AI43" s="19">
        <f>VLOOKUP(A43,AuxOPEXSaneparOriginal!$B$4:$AV$177,47,0)</f>
        <v>0</v>
      </c>
      <c r="AJ43" s="58">
        <f t="shared" si="53"/>
        <v>764450.35000000009</v>
      </c>
      <c r="AK43" s="58">
        <f t="shared" si="54"/>
        <v>815305.42749999999</v>
      </c>
      <c r="AL43" s="58">
        <f t="shared" si="55"/>
        <v>741443.17</v>
      </c>
      <c r="AN43" s="167">
        <f t="shared" si="90"/>
        <v>80784.14999999998</v>
      </c>
      <c r="AO43" s="168">
        <f t="shared" si="91"/>
        <v>84456.12999999999</v>
      </c>
      <c r="AP43" s="57">
        <f t="shared" si="92"/>
        <v>13265.77</v>
      </c>
      <c r="AQ43" s="57">
        <f t="shared" si="93"/>
        <v>15437.619999999999</v>
      </c>
      <c r="AR43" s="57">
        <f t="shared" si="94"/>
        <v>127651.40000000001</v>
      </c>
      <c r="AS43" s="57">
        <f t="shared" si="95"/>
        <v>545657.87000000011</v>
      </c>
      <c r="AT43" s="57">
        <f t="shared" si="96"/>
        <v>0</v>
      </c>
      <c r="AU43" s="58">
        <f t="shared" si="57"/>
        <v>867252.94000000006</v>
      </c>
      <c r="AV43" s="57">
        <f t="shared" si="97"/>
        <v>67909.349999999991</v>
      </c>
      <c r="AW43" s="57">
        <f t="shared" si="98"/>
        <v>106946.93</v>
      </c>
      <c r="AX43" s="57">
        <f t="shared" si="99"/>
        <v>12251.330000000002</v>
      </c>
      <c r="AY43" s="57">
        <f t="shared" si="100"/>
        <v>30442.989999999998</v>
      </c>
      <c r="AZ43" s="57">
        <f t="shared" si="101"/>
        <v>113596.84000000003</v>
      </c>
      <c r="BA43" s="57">
        <f t="shared" si="102"/>
        <v>579934.99</v>
      </c>
      <c r="BB43" s="57">
        <f t="shared" si="103"/>
        <v>0</v>
      </c>
      <c r="BC43" s="58">
        <f t="shared" si="58"/>
        <v>911082.42999999993</v>
      </c>
      <c r="BD43" s="57">
        <f t="shared" si="104"/>
        <v>89961.97</v>
      </c>
      <c r="BE43" s="57">
        <f t="shared" si="105"/>
        <v>54027.810000000005</v>
      </c>
      <c r="BF43" s="57">
        <f t="shared" si="106"/>
        <v>14397.710000000001</v>
      </c>
      <c r="BG43" s="57">
        <f t="shared" si="107"/>
        <v>32019.1</v>
      </c>
      <c r="BH43" s="57">
        <f t="shared" si="108"/>
        <v>152893.78</v>
      </c>
      <c r="BI43" s="57">
        <f t="shared" si="109"/>
        <v>375135.61999999994</v>
      </c>
      <c r="BJ43" s="57">
        <f t="shared" si="110"/>
        <v>0</v>
      </c>
      <c r="BK43" s="58">
        <f t="shared" si="64"/>
        <v>718435.99</v>
      </c>
      <c r="BL43" s="57">
        <f t="shared" si="111"/>
        <v>47401.619999999995</v>
      </c>
      <c r="BM43" s="57">
        <f t="shared" si="112"/>
        <v>85372.83</v>
      </c>
      <c r="BN43" s="57">
        <f t="shared" si="113"/>
        <v>24640.530000000002</v>
      </c>
      <c r="BO43" s="57">
        <f t="shared" si="114"/>
        <v>43182.890000000007</v>
      </c>
      <c r="BP43" s="57">
        <f t="shared" si="115"/>
        <v>96341.58</v>
      </c>
      <c r="BQ43" s="57">
        <f t="shared" si="116"/>
        <v>467510.9</v>
      </c>
      <c r="BR43" s="57">
        <f t="shared" si="117"/>
        <v>0</v>
      </c>
      <c r="BS43" s="58">
        <f t="shared" si="72"/>
        <v>764450.35000000009</v>
      </c>
      <c r="BT43" s="58">
        <f t="shared" si="73"/>
        <v>815305.42749999999</v>
      </c>
      <c r="BU43" s="58">
        <f t="shared" si="74"/>
        <v>741443.17</v>
      </c>
      <c r="BW43" s="60">
        <f t="shared" si="75"/>
        <v>867252.94000000006</v>
      </c>
      <c r="BX43" s="132">
        <f t="shared" si="76"/>
        <v>911082.42999999993</v>
      </c>
      <c r="BY43" s="132">
        <f t="shared" si="77"/>
        <v>718435.99</v>
      </c>
      <c r="BZ43" s="132">
        <f t="shared" si="78"/>
        <v>764450.35000000009</v>
      </c>
      <c r="CA43" s="60">
        <f t="shared" si="118"/>
        <v>815305.42750000011</v>
      </c>
      <c r="CB43" s="58">
        <f t="shared" si="119"/>
        <v>815851.64500000002</v>
      </c>
      <c r="CD43" s="60">
        <f t="shared" si="79"/>
        <v>985188.846079426</v>
      </c>
      <c r="CE43" s="132">
        <f t="shared" si="80"/>
        <v>994732.82555274898</v>
      </c>
      <c r="CF43" s="132">
        <f t="shared" si="81"/>
        <v>759525.42773247103</v>
      </c>
      <c r="CG43" s="132">
        <f t="shared" si="126"/>
        <v>764450.35000000009</v>
      </c>
      <c r="CH43" s="60">
        <f t="shared" si="120"/>
        <v>875974.36234116147</v>
      </c>
      <c r="CI43" s="58">
        <f t="shared" si="121"/>
        <v>874819.59803971299</v>
      </c>
      <c r="CK43" s="61">
        <f t="shared" si="122"/>
        <v>9.6874619635649584E-3</v>
      </c>
      <c r="CL43" s="62">
        <f t="shared" si="123"/>
        <v>-0.23645283615686341</v>
      </c>
      <c r="CM43" s="63">
        <f t="shared" si="124"/>
        <v>6.4842098601387566E-3</v>
      </c>
      <c r="CN43" s="61">
        <f t="shared" si="125"/>
        <v>-0.22405703937662114</v>
      </c>
      <c r="CO43" s="29"/>
      <c r="CP43" s="61">
        <f t="shared" si="82"/>
        <v>4.1502539342240464E-4</v>
      </c>
      <c r="CQ43" s="62">
        <f t="shared" si="83"/>
        <v>4.2831726250593187E-4</v>
      </c>
      <c r="CR43" s="63">
        <f t="shared" si="84"/>
        <v>3.1541059896314575E-4</v>
      </c>
      <c r="CS43" s="61">
        <f t="shared" si="85"/>
        <v>3.1585810666804004E-4</v>
      </c>
      <c r="CU43" s="60">
        <f t="shared" si="86"/>
        <v>100</v>
      </c>
      <c r="CV43" s="132">
        <f t="shared" si="87"/>
        <v>100.96874619635649</v>
      </c>
      <c r="CW43" s="132">
        <f t="shared" si="88"/>
        <v>77.094399795025495</v>
      </c>
      <c r="CX43" s="131">
        <f t="shared" si="89"/>
        <v>77.594296062337889</v>
      </c>
    </row>
    <row r="44" spans="1:102">
      <c r="A44" s="29">
        <v>108</v>
      </c>
      <c r="B44" s="29" t="s">
        <v>2</v>
      </c>
      <c r="C44" s="55" t="s">
        <v>73</v>
      </c>
      <c r="D44" s="56">
        <v>0</v>
      </c>
      <c r="E44" s="57">
        <f>VLOOKUP(A44,AuxOPEXSaneparOriginal!$B$4:$F$177,3,0)</f>
        <v>8336643.7600000035</v>
      </c>
      <c r="F44" s="156">
        <f>VLOOKUP(A44,AuxOPEXSaneparOriginal!$B$4:$F$177,4,0)</f>
        <v>7943435.6899999958</v>
      </c>
      <c r="G44" s="57">
        <f>VLOOKUP(A44,AuxOPEXSaneparOriginal!$B$4:$K$177,8,0)</f>
        <v>2103743.02</v>
      </c>
      <c r="H44" s="156">
        <f>VLOOKUP(A44,AuxOPEXSaneparOriginal!$B$4:$K$177,9,0)</f>
        <v>3445754.4499999993</v>
      </c>
      <c r="I44" s="57">
        <f>VLOOKUP(A44,AuxOPEXSaneparOriginal!$B$4:$N$177,13,0)</f>
        <v>6692430.3699999992</v>
      </c>
      <c r="J44" s="57">
        <f>VLOOKUP(A44,AuxOPEXSaneparOriginal!$B$4:$Q$177,16,0)</f>
        <v>33714250.669999994</v>
      </c>
      <c r="K44" s="57">
        <f>VLOOKUP(A44,AuxOPEXSaneparOriginal!$B$4:$V$177,21,0)</f>
        <v>0</v>
      </c>
      <c r="L44" s="58">
        <f t="shared" si="50"/>
        <v>62236257.959999993</v>
      </c>
      <c r="M44" s="19">
        <f>VLOOKUP(A44,AuxOPEXSaneparOriginal!$B$4:$AB$177,27,0)</f>
        <v>7428666.1099999975</v>
      </c>
      <c r="N44" s="156">
        <f>VLOOKUP(A44,AuxOPEXSaneparOriginal!$B$4:$AC$177,28,0)</f>
        <v>7229142.8100000108</v>
      </c>
      <c r="O44" s="156">
        <f>VLOOKUP(A44,AuxOPEXSaneparOriginal!$B$4:$AD$177,29,0)</f>
        <v>2003649.850000001</v>
      </c>
      <c r="P44" s="156">
        <f>VLOOKUP(A44,AuxOPEXSaneparOriginal!$B$4:$AE$177,30,0)</f>
        <v>3230958.0100000012</v>
      </c>
      <c r="Q44" s="19">
        <f>VLOOKUP(A44,AuxOPEXSaneparOriginal!$B$4:$AF$177,31,0)</f>
        <v>6564972.1399999969</v>
      </c>
      <c r="R44" s="19">
        <f>VLOOKUP(A44,AuxOPEXSaneparOriginal!$B$4:$AG$177,32,0)</f>
        <v>30023301.560000002</v>
      </c>
      <c r="S44" s="19">
        <f>VLOOKUP(A44,AuxOPEXSaneparOriginal!$B$4:$AH$177,33,0)</f>
        <v>0</v>
      </c>
      <c r="T44" s="58">
        <f t="shared" si="51"/>
        <v>56480690.480000012</v>
      </c>
      <c r="U44" s="156">
        <f>VLOOKUP(A44,AuxOPEXSaneparOriginal!$B$4:$AI$177,34,0)</f>
        <v>7505273.9899999984</v>
      </c>
      <c r="V44" s="156">
        <f>VLOOKUP(A44,AuxOPEXSaneparOriginal!$B$4:$AJ$177,35,0)</f>
        <v>7157894.599999995</v>
      </c>
      <c r="W44" s="156">
        <f>VLOOKUP(A44,AuxOPEXSaneparOriginal!$B$4:$AK$177,36,0)</f>
        <v>2128816.5400000005</v>
      </c>
      <c r="X44" s="19">
        <f>+VLOOKUP(A44,AuxOPEXSaneparOriginal!$B$4:$AL$177,37,0)</f>
        <v>3481671.689999999</v>
      </c>
      <c r="Y44" s="19">
        <f>VLOOKUP(A44,AuxOPEXSaneparOriginal!$B$4:$AM$177,38,0)</f>
        <v>6690228.4200000018</v>
      </c>
      <c r="Z44" s="19">
        <f>VLOOKUP(A44,AuxOPEXSaneparOriginal!$B$4:$AN$177,39,0)</f>
        <v>29392088.239999998</v>
      </c>
      <c r="AA44" s="19">
        <f>VLOOKUP(A44,AuxOPEXSaneparOriginal!$B$4:$AO$177,40,0)</f>
        <v>0</v>
      </c>
      <c r="AB44" s="58">
        <f t="shared" si="52"/>
        <v>56355973.479999989</v>
      </c>
      <c r="AC44" s="156">
        <f>VLOOKUP(A44,AuxOPEXSaneparOriginal!$B$4:$AP$177,41,0)</f>
        <v>6775528.1399999997</v>
      </c>
      <c r="AD44" s="156">
        <f>+VLOOKUP(A44,AuxOPEXSaneparOriginal!$B$4:$AQ$177,42,0)</f>
        <v>6602954.0599999996</v>
      </c>
      <c r="AE44" s="156">
        <f>VLOOKUP(A44,AuxOPEXSaneparOriginal!$B$4:$AR$177,43,0)</f>
        <v>2352184.1200000015</v>
      </c>
      <c r="AF44" s="156">
        <f>+VLOOKUP(A44,AuxOPEXSaneparOriginal!$B$4:$AS$177,44,0)</f>
        <v>3528948.3699999987</v>
      </c>
      <c r="AG44" s="19">
        <f>VLOOKUP(A44,AuxOPEXSaneparOriginal!$B$4:$AT$177,45,0)</f>
        <v>6640071.3000000026</v>
      </c>
      <c r="AH44" s="19">
        <f>VLOOKUP(A44,AuxOPEXSaneparOriginal!$B$4:$AU$177,46,0)</f>
        <v>26938304.510000002</v>
      </c>
      <c r="AI44" s="19">
        <f>VLOOKUP(A44,AuxOPEXSaneparOriginal!$B$4:$AV$177,47,0)</f>
        <v>0</v>
      </c>
      <c r="AJ44" s="58">
        <f t="shared" si="53"/>
        <v>52837990.5</v>
      </c>
      <c r="AK44" s="58">
        <f t="shared" si="54"/>
        <v>56977728.105000004</v>
      </c>
      <c r="AL44" s="58">
        <f t="shared" si="55"/>
        <v>54596981.989999995</v>
      </c>
      <c r="AN44" s="167">
        <f t="shared" si="90"/>
        <v>8336643.7600000035</v>
      </c>
      <c r="AO44" s="168">
        <f t="shared" si="91"/>
        <v>7943435.6899999958</v>
      </c>
      <c r="AP44" s="57">
        <f t="shared" si="92"/>
        <v>2103743.02</v>
      </c>
      <c r="AQ44" s="57">
        <f t="shared" si="93"/>
        <v>3445754.4499999993</v>
      </c>
      <c r="AR44" s="57">
        <f t="shared" si="94"/>
        <v>6692430.3699999992</v>
      </c>
      <c r="AS44" s="57">
        <f t="shared" si="95"/>
        <v>33714250.669999994</v>
      </c>
      <c r="AT44" s="57">
        <f t="shared" si="96"/>
        <v>0</v>
      </c>
      <c r="AU44" s="58">
        <f t="shared" si="57"/>
        <v>62236257.959999993</v>
      </c>
      <c r="AV44" s="57">
        <f t="shared" si="97"/>
        <v>7428666.1099999975</v>
      </c>
      <c r="AW44" s="57">
        <f t="shared" si="98"/>
        <v>7229142.8100000108</v>
      </c>
      <c r="AX44" s="57">
        <f t="shared" si="99"/>
        <v>2003649.850000001</v>
      </c>
      <c r="AY44" s="57">
        <f t="shared" si="100"/>
        <v>3230958.0100000012</v>
      </c>
      <c r="AZ44" s="57">
        <f t="shared" si="101"/>
        <v>6564972.1399999969</v>
      </c>
      <c r="BA44" s="57">
        <f t="shared" si="102"/>
        <v>30023301.560000002</v>
      </c>
      <c r="BB44" s="57">
        <f t="shared" si="103"/>
        <v>0</v>
      </c>
      <c r="BC44" s="58">
        <f t="shared" si="58"/>
        <v>56480690.480000012</v>
      </c>
      <c r="BD44" s="57">
        <f t="shared" si="104"/>
        <v>7505273.9899999984</v>
      </c>
      <c r="BE44" s="57">
        <f t="shared" si="105"/>
        <v>7157894.599999995</v>
      </c>
      <c r="BF44" s="57">
        <f t="shared" si="106"/>
        <v>2128816.5400000005</v>
      </c>
      <c r="BG44" s="57">
        <f t="shared" si="107"/>
        <v>3481671.689999999</v>
      </c>
      <c r="BH44" s="57">
        <f t="shared" si="108"/>
        <v>6690228.4200000018</v>
      </c>
      <c r="BI44" s="57">
        <f t="shared" si="109"/>
        <v>29392088.239999998</v>
      </c>
      <c r="BJ44" s="57">
        <f t="shared" si="110"/>
        <v>0</v>
      </c>
      <c r="BK44" s="58">
        <f t="shared" si="64"/>
        <v>56355973.479999989</v>
      </c>
      <c r="BL44" s="57">
        <f t="shared" si="111"/>
        <v>6775528.1399999997</v>
      </c>
      <c r="BM44" s="57">
        <f t="shared" si="112"/>
        <v>6602954.0599999996</v>
      </c>
      <c r="BN44" s="57">
        <f t="shared" si="113"/>
        <v>2352184.1200000015</v>
      </c>
      <c r="BO44" s="57">
        <f t="shared" si="114"/>
        <v>3528948.3699999987</v>
      </c>
      <c r="BP44" s="57">
        <f t="shared" si="115"/>
        <v>6640071.3000000026</v>
      </c>
      <c r="BQ44" s="57">
        <f t="shared" si="116"/>
        <v>26938304.510000002</v>
      </c>
      <c r="BR44" s="57">
        <f t="shared" si="117"/>
        <v>0</v>
      </c>
      <c r="BS44" s="58">
        <f t="shared" si="72"/>
        <v>52837990.5</v>
      </c>
      <c r="BT44" s="58">
        <f t="shared" si="73"/>
        <v>56977728.105000004</v>
      </c>
      <c r="BU44" s="58">
        <f t="shared" si="74"/>
        <v>54596981.989999995</v>
      </c>
      <c r="BW44" s="60">
        <f t="shared" si="75"/>
        <v>62236257.959999993</v>
      </c>
      <c r="BX44" s="132">
        <f t="shared" si="76"/>
        <v>56480690.480000012</v>
      </c>
      <c r="BY44" s="132">
        <f t="shared" si="77"/>
        <v>56355973.479999989</v>
      </c>
      <c r="BZ44" s="132">
        <f t="shared" si="78"/>
        <v>52837990.5</v>
      </c>
      <c r="CA44" s="60">
        <f t="shared" si="118"/>
        <v>56977728.104999997</v>
      </c>
      <c r="CB44" s="58">
        <f t="shared" si="119"/>
        <v>56418331.980000004</v>
      </c>
      <c r="CD44" s="60">
        <f t="shared" si="79"/>
        <v>70699635.983838677</v>
      </c>
      <c r="CE44" s="132">
        <f t="shared" si="80"/>
        <v>61666425.539937876</v>
      </c>
      <c r="CF44" s="132">
        <f t="shared" si="81"/>
        <v>59579135.035644278</v>
      </c>
      <c r="CG44" s="132">
        <f t="shared" si="126"/>
        <v>52837990.5</v>
      </c>
      <c r="CH44" s="60">
        <f t="shared" si="120"/>
        <v>61195796.764855206</v>
      </c>
      <c r="CI44" s="58">
        <f t="shared" si="121"/>
        <v>60622780.287791073</v>
      </c>
      <c r="CK44" s="61">
        <f t="shared" si="122"/>
        <v>-0.12776883951659546</v>
      </c>
      <c r="CL44" s="62">
        <f t="shared" si="123"/>
        <v>-3.3848086475221084E-2</v>
      </c>
      <c r="CM44" s="63">
        <f t="shared" si="124"/>
        <v>-0.11314606248666192</v>
      </c>
      <c r="CN44" s="61">
        <f t="shared" si="125"/>
        <v>-0.25264126519578822</v>
      </c>
      <c r="CO44" s="29"/>
      <c r="CP44" s="61">
        <f t="shared" si="82"/>
        <v>2.9783268817730687E-2</v>
      </c>
      <c r="CQ44" s="62">
        <f t="shared" si="83"/>
        <v>2.6552652026050436E-2</v>
      </c>
      <c r="CR44" s="63">
        <f t="shared" si="84"/>
        <v>2.4741621519375655E-2</v>
      </c>
      <c r="CS44" s="61">
        <f t="shared" si="85"/>
        <v>2.1831774476228423E-2</v>
      </c>
      <c r="CU44" s="60">
        <f t="shared" si="86"/>
        <v>100</v>
      </c>
      <c r="CV44" s="132">
        <f t="shared" si="87"/>
        <v>87.223116048340458</v>
      </c>
      <c r="CW44" s="132">
        <f t="shared" si="88"/>
        <v>84.270780473697982</v>
      </c>
      <c r="CX44" s="131">
        <f t="shared" si="89"/>
        <v>74.735873480421176</v>
      </c>
    </row>
    <row r="45" spans="1:102">
      <c r="A45" s="29">
        <v>109</v>
      </c>
      <c r="B45" s="29" t="s">
        <v>2</v>
      </c>
      <c r="C45" s="55" t="s">
        <v>74</v>
      </c>
      <c r="D45" s="56">
        <v>0</v>
      </c>
      <c r="E45" s="57">
        <f>VLOOKUP(A45,AuxOPEXSaneparOriginal!$B$4:$F$177,3,0)</f>
        <v>1435418.9800000007</v>
      </c>
      <c r="F45" s="156">
        <f>VLOOKUP(A45,AuxOPEXSaneparOriginal!$B$4:$F$177,4,0)</f>
        <v>1194471.4699999997</v>
      </c>
      <c r="G45" s="57">
        <f>VLOOKUP(A45,AuxOPEXSaneparOriginal!$B$4:$K$177,8,0)</f>
        <v>318548.82</v>
      </c>
      <c r="H45" s="156">
        <f>VLOOKUP(A45,AuxOPEXSaneparOriginal!$B$4:$K$177,9,0)</f>
        <v>643158.35999999987</v>
      </c>
      <c r="I45" s="57">
        <f>VLOOKUP(A45,AuxOPEXSaneparOriginal!$B$4:$N$177,13,0)</f>
        <v>941171.59000000032</v>
      </c>
      <c r="J45" s="57">
        <f>VLOOKUP(A45,AuxOPEXSaneparOriginal!$B$4:$Q$177,16,0)</f>
        <v>5183370.0300000012</v>
      </c>
      <c r="K45" s="57">
        <f>VLOOKUP(A45,AuxOPEXSaneparOriginal!$B$4:$V$177,21,0)</f>
        <v>0</v>
      </c>
      <c r="L45" s="58">
        <f t="shared" si="50"/>
        <v>9716139.2500000019</v>
      </c>
      <c r="M45" s="19">
        <f>VLOOKUP(A45,AuxOPEXSaneparOriginal!$B$4:$AB$177,27,0)</f>
        <v>1063725.22</v>
      </c>
      <c r="N45" s="156">
        <f>VLOOKUP(A45,AuxOPEXSaneparOriginal!$B$4:$AC$177,28,0)</f>
        <v>805551.24999999988</v>
      </c>
      <c r="O45" s="156">
        <f>VLOOKUP(A45,AuxOPEXSaneparOriginal!$B$4:$AD$177,29,0)</f>
        <v>244237.19000000009</v>
      </c>
      <c r="P45" s="156">
        <f>VLOOKUP(A45,AuxOPEXSaneparOriginal!$B$4:$AE$177,30,0)</f>
        <v>518264.04</v>
      </c>
      <c r="Q45" s="19">
        <f>VLOOKUP(A45,AuxOPEXSaneparOriginal!$B$4:$AF$177,31,0)</f>
        <v>734264.00999999966</v>
      </c>
      <c r="R45" s="19">
        <f>VLOOKUP(A45,AuxOPEXSaneparOriginal!$B$4:$AG$177,32,0)</f>
        <v>3765321.0300000003</v>
      </c>
      <c r="S45" s="19">
        <f>VLOOKUP(A45,AuxOPEXSaneparOriginal!$B$4:$AH$177,33,0)</f>
        <v>0</v>
      </c>
      <c r="T45" s="58">
        <f t="shared" si="51"/>
        <v>7131362.7400000002</v>
      </c>
      <c r="U45" s="156">
        <f>VLOOKUP(A45,AuxOPEXSaneparOriginal!$B$4:$AI$177,34,0)</f>
        <v>1845765.7599999995</v>
      </c>
      <c r="V45" s="156">
        <f>VLOOKUP(A45,AuxOPEXSaneparOriginal!$B$4:$AJ$177,35,0)</f>
        <v>1336385.1200000003</v>
      </c>
      <c r="W45" s="156">
        <f>VLOOKUP(A45,AuxOPEXSaneparOriginal!$B$4:$AK$177,36,0)</f>
        <v>460827.50999999989</v>
      </c>
      <c r="X45" s="19">
        <f>+VLOOKUP(A45,AuxOPEXSaneparOriginal!$B$4:$AL$177,37,0)</f>
        <v>863126.95999999985</v>
      </c>
      <c r="Y45" s="19">
        <f>VLOOKUP(A45,AuxOPEXSaneparOriginal!$B$4:$AM$177,38,0)</f>
        <v>1142904.5500000005</v>
      </c>
      <c r="Z45" s="19">
        <f>VLOOKUP(A45,AuxOPEXSaneparOriginal!$B$4:$AN$177,39,0)</f>
        <v>6108176.1699999999</v>
      </c>
      <c r="AA45" s="19">
        <f>VLOOKUP(A45,AuxOPEXSaneparOriginal!$B$4:$AO$177,40,0)</f>
        <v>0</v>
      </c>
      <c r="AB45" s="58">
        <f t="shared" si="52"/>
        <v>11757186.07</v>
      </c>
      <c r="AC45" s="156">
        <f>VLOOKUP(A45,AuxOPEXSaneparOriginal!$B$4:$AP$177,41,0)</f>
        <v>2252039.1899999995</v>
      </c>
      <c r="AD45" s="156">
        <f>+VLOOKUP(A45,AuxOPEXSaneparOriginal!$B$4:$AQ$177,42,0)</f>
        <v>1947110.6599999997</v>
      </c>
      <c r="AE45" s="156">
        <f>VLOOKUP(A45,AuxOPEXSaneparOriginal!$B$4:$AR$177,43,0)</f>
        <v>665153.78000000014</v>
      </c>
      <c r="AF45" s="156">
        <f>+VLOOKUP(A45,AuxOPEXSaneparOriginal!$B$4:$AS$177,44,0)</f>
        <v>1242016.45</v>
      </c>
      <c r="AG45" s="19">
        <f>VLOOKUP(A45,AuxOPEXSaneparOriginal!$B$4:$AT$177,45,0)</f>
        <v>1497533.8499999996</v>
      </c>
      <c r="AH45" s="19">
        <f>VLOOKUP(A45,AuxOPEXSaneparOriginal!$B$4:$AU$177,46,0)</f>
        <v>8157203.71</v>
      </c>
      <c r="AI45" s="19">
        <f>VLOOKUP(A45,AuxOPEXSaneparOriginal!$B$4:$AV$177,47,0)</f>
        <v>0</v>
      </c>
      <c r="AJ45" s="58">
        <f t="shared" si="53"/>
        <v>15761057.640000001</v>
      </c>
      <c r="AK45" s="58">
        <f t="shared" si="54"/>
        <v>11091436.425000001</v>
      </c>
      <c r="AL45" s="58">
        <f t="shared" si="55"/>
        <v>13759121.855</v>
      </c>
      <c r="AN45" s="167">
        <f t="shared" si="90"/>
        <v>1435418.9800000007</v>
      </c>
      <c r="AO45" s="168">
        <f t="shared" si="91"/>
        <v>1194471.4699999997</v>
      </c>
      <c r="AP45" s="57">
        <f t="shared" si="92"/>
        <v>318548.82</v>
      </c>
      <c r="AQ45" s="57">
        <f t="shared" si="93"/>
        <v>643158.35999999987</v>
      </c>
      <c r="AR45" s="57">
        <f t="shared" si="94"/>
        <v>941171.59000000032</v>
      </c>
      <c r="AS45" s="57">
        <f t="shared" si="95"/>
        <v>5183370.0300000012</v>
      </c>
      <c r="AT45" s="57">
        <f t="shared" si="96"/>
        <v>0</v>
      </c>
      <c r="AU45" s="58">
        <f t="shared" si="57"/>
        <v>9716139.2500000019</v>
      </c>
      <c r="AV45" s="57">
        <f t="shared" si="97"/>
        <v>1063725.22</v>
      </c>
      <c r="AW45" s="57">
        <f t="shared" si="98"/>
        <v>805551.24999999988</v>
      </c>
      <c r="AX45" s="57">
        <f t="shared" si="99"/>
        <v>244237.19000000009</v>
      </c>
      <c r="AY45" s="57">
        <f t="shared" si="100"/>
        <v>518264.04</v>
      </c>
      <c r="AZ45" s="57">
        <f t="shared" si="101"/>
        <v>734264.00999999966</v>
      </c>
      <c r="BA45" s="57">
        <f t="shared" si="102"/>
        <v>3765321.0300000003</v>
      </c>
      <c r="BB45" s="57">
        <f t="shared" si="103"/>
        <v>0</v>
      </c>
      <c r="BC45" s="58">
        <f t="shared" si="58"/>
        <v>7131362.7400000002</v>
      </c>
      <c r="BD45" s="57">
        <f t="shared" si="104"/>
        <v>1845765.7599999995</v>
      </c>
      <c r="BE45" s="57">
        <f t="shared" si="105"/>
        <v>1336385.1200000003</v>
      </c>
      <c r="BF45" s="57">
        <f t="shared" si="106"/>
        <v>460827.50999999989</v>
      </c>
      <c r="BG45" s="57">
        <f t="shared" si="107"/>
        <v>863126.95999999985</v>
      </c>
      <c r="BH45" s="57">
        <f t="shared" si="108"/>
        <v>1142904.5500000005</v>
      </c>
      <c r="BI45" s="57">
        <f t="shared" si="109"/>
        <v>6108176.1699999999</v>
      </c>
      <c r="BJ45" s="57">
        <f t="shared" si="110"/>
        <v>0</v>
      </c>
      <c r="BK45" s="58">
        <f t="shared" si="64"/>
        <v>11757186.07</v>
      </c>
      <c r="BL45" s="57">
        <f t="shared" si="111"/>
        <v>2252039.1899999995</v>
      </c>
      <c r="BM45" s="57">
        <f t="shared" si="112"/>
        <v>1947110.6599999997</v>
      </c>
      <c r="BN45" s="57">
        <f t="shared" si="113"/>
        <v>665153.78000000014</v>
      </c>
      <c r="BO45" s="57">
        <f t="shared" si="114"/>
        <v>1242016.45</v>
      </c>
      <c r="BP45" s="57">
        <f t="shared" si="115"/>
        <v>1497533.8499999996</v>
      </c>
      <c r="BQ45" s="57">
        <f t="shared" si="116"/>
        <v>8157203.71</v>
      </c>
      <c r="BR45" s="57">
        <f t="shared" si="117"/>
        <v>0</v>
      </c>
      <c r="BS45" s="58">
        <f t="shared" si="72"/>
        <v>15761057.640000001</v>
      </c>
      <c r="BT45" s="58">
        <f t="shared" si="73"/>
        <v>11091436.425000001</v>
      </c>
      <c r="BU45" s="58">
        <f t="shared" si="74"/>
        <v>13759121.855</v>
      </c>
      <c r="BW45" s="60">
        <f t="shared" si="75"/>
        <v>9716139.2500000019</v>
      </c>
      <c r="BX45" s="132">
        <f t="shared" si="76"/>
        <v>7131362.7400000002</v>
      </c>
      <c r="BY45" s="132">
        <f t="shared" si="77"/>
        <v>11757186.07</v>
      </c>
      <c r="BZ45" s="132">
        <f t="shared" si="78"/>
        <v>15761057.640000001</v>
      </c>
      <c r="CA45" s="60">
        <f t="shared" si="118"/>
        <v>11091436.425000001</v>
      </c>
      <c r="CB45" s="58">
        <f t="shared" si="119"/>
        <v>10736662.66</v>
      </c>
      <c r="CD45" s="60">
        <f t="shared" si="79"/>
        <v>11037416.622715076</v>
      </c>
      <c r="CE45" s="132">
        <f t="shared" si="80"/>
        <v>7786123.8180191824</v>
      </c>
      <c r="CF45" s="132">
        <f t="shared" si="81"/>
        <v>12429613.637182903</v>
      </c>
      <c r="CG45" s="132">
        <f t="shared" si="126"/>
        <v>15761057.640000001</v>
      </c>
      <c r="CH45" s="60">
        <f t="shared" si="120"/>
        <v>11753552.92947929</v>
      </c>
      <c r="CI45" s="58">
        <f t="shared" si="121"/>
        <v>11733515.129948989</v>
      </c>
      <c r="CK45" s="61">
        <f t="shared" si="122"/>
        <v>-0.29457008970783183</v>
      </c>
      <c r="CL45" s="62">
        <f t="shared" si="123"/>
        <v>0.59638016652360926</v>
      </c>
      <c r="CM45" s="63">
        <f t="shared" si="124"/>
        <v>0.26802474317070968</v>
      </c>
      <c r="CN45" s="61">
        <f t="shared" si="125"/>
        <v>0.42796617893027977</v>
      </c>
      <c r="CO45" s="29"/>
      <c r="CP45" s="61">
        <f t="shared" si="82"/>
        <v>4.6496752317474049E-3</v>
      </c>
      <c r="CQ45" s="62">
        <f t="shared" si="83"/>
        <v>3.3525899151996617E-3</v>
      </c>
      <c r="CR45" s="63">
        <f t="shared" si="84"/>
        <v>5.1616861516916128E-3</v>
      </c>
      <c r="CS45" s="61">
        <f t="shared" si="85"/>
        <v>6.5122055673808603E-3</v>
      </c>
      <c r="CU45" s="60">
        <f t="shared" si="86"/>
        <v>100</v>
      </c>
      <c r="CV45" s="132">
        <f t="shared" si="87"/>
        <v>70.542991029216822</v>
      </c>
      <c r="CW45" s="132">
        <f t="shared" si="88"/>
        <v>112.61343176629461</v>
      </c>
      <c r="CX45" s="131">
        <f t="shared" si="89"/>
        <v>142.79661789302799</v>
      </c>
    </row>
    <row r="46" spans="1:102">
      <c r="A46" s="29">
        <v>110</v>
      </c>
      <c r="B46" s="29" t="s">
        <v>2</v>
      </c>
      <c r="C46" s="55" t="s">
        <v>75</v>
      </c>
      <c r="D46" s="56">
        <v>0</v>
      </c>
      <c r="E46" s="57">
        <f>VLOOKUP(A46,AuxOPEXSaneparOriginal!$B$4:$F$177,3,0)</f>
        <v>4917641.2899999991</v>
      </c>
      <c r="F46" s="156">
        <f>VLOOKUP(A46,AuxOPEXSaneparOriginal!$B$4:$F$177,4,0)</f>
        <v>4763501.9900000049</v>
      </c>
      <c r="G46" s="57">
        <f>VLOOKUP(A46,AuxOPEXSaneparOriginal!$B$4:$K$177,8,0)</f>
        <v>1262018.5099999998</v>
      </c>
      <c r="H46" s="156">
        <f>VLOOKUP(A46,AuxOPEXSaneparOriginal!$B$4:$K$177,9,0)</f>
        <v>2043578.46</v>
      </c>
      <c r="I46" s="57">
        <f>VLOOKUP(A46,AuxOPEXSaneparOriginal!$B$4:$N$177,13,0)</f>
        <v>3810953.1499999994</v>
      </c>
      <c r="J46" s="57">
        <f>VLOOKUP(A46,AuxOPEXSaneparOriginal!$B$4:$Q$177,16,0)</f>
        <v>20870459.920000002</v>
      </c>
      <c r="K46" s="57">
        <f>VLOOKUP(A46,AuxOPEXSaneparOriginal!$B$4:$V$177,21,0)</f>
        <v>0</v>
      </c>
      <c r="L46" s="58">
        <f t="shared" si="50"/>
        <v>37668153.320000008</v>
      </c>
      <c r="M46" s="19">
        <f>VLOOKUP(A46,AuxOPEXSaneparOriginal!$B$4:$AB$177,27,0)</f>
        <v>5069542.2999999942</v>
      </c>
      <c r="N46" s="156">
        <f>VLOOKUP(A46,AuxOPEXSaneparOriginal!$B$4:$AC$177,28,0)</f>
        <v>4917679.8699999982</v>
      </c>
      <c r="O46" s="156">
        <f>VLOOKUP(A46,AuxOPEXSaneparOriginal!$B$4:$AD$177,29,0)</f>
        <v>1351693.4599999993</v>
      </c>
      <c r="P46" s="156">
        <f>VLOOKUP(A46,AuxOPEXSaneparOriginal!$B$4:$AE$177,30,0)</f>
        <v>2227596.9200000009</v>
      </c>
      <c r="Q46" s="19">
        <f>VLOOKUP(A46,AuxOPEXSaneparOriginal!$B$4:$AF$177,31,0)</f>
        <v>4143375.049999997</v>
      </c>
      <c r="R46" s="19">
        <f>VLOOKUP(A46,AuxOPEXSaneparOriginal!$B$4:$AG$177,32,0)</f>
        <v>20950242.68</v>
      </c>
      <c r="S46" s="19">
        <f>VLOOKUP(A46,AuxOPEXSaneparOriginal!$B$4:$AH$177,33,0)</f>
        <v>0</v>
      </c>
      <c r="T46" s="58">
        <f t="shared" si="51"/>
        <v>38660130.279999986</v>
      </c>
      <c r="U46" s="156">
        <f>VLOOKUP(A46,AuxOPEXSaneparOriginal!$B$4:$AI$177,34,0)</f>
        <v>5322273.6999999955</v>
      </c>
      <c r="V46" s="156">
        <f>VLOOKUP(A46,AuxOPEXSaneparOriginal!$B$4:$AJ$177,35,0)</f>
        <v>5052694.5100000026</v>
      </c>
      <c r="W46" s="156">
        <f>VLOOKUP(A46,AuxOPEXSaneparOriginal!$B$4:$AK$177,36,0)</f>
        <v>1511824.3300000003</v>
      </c>
      <c r="X46" s="19">
        <f>+VLOOKUP(A46,AuxOPEXSaneparOriginal!$B$4:$AL$177,37,0)</f>
        <v>2508135.5799999973</v>
      </c>
      <c r="Y46" s="19">
        <f>VLOOKUP(A46,AuxOPEXSaneparOriginal!$B$4:$AM$177,38,0)</f>
        <v>4425281.2000000011</v>
      </c>
      <c r="Z46" s="19">
        <f>VLOOKUP(A46,AuxOPEXSaneparOriginal!$B$4:$AN$177,39,0)</f>
        <v>21558551.029999994</v>
      </c>
      <c r="AA46" s="19">
        <f>VLOOKUP(A46,AuxOPEXSaneparOriginal!$B$4:$AO$177,40,0)</f>
        <v>0</v>
      </c>
      <c r="AB46" s="58">
        <f t="shared" si="52"/>
        <v>40378760.349999987</v>
      </c>
      <c r="AC46" s="156">
        <f>VLOOKUP(A46,AuxOPEXSaneparOriginal!$B$4:$AP$177,41,0)</f>
        <v>5188945.96</v>
      </c>
      <c r="AD46" s="156">
        <f>+VLOOKUP(A46,AuxOPEXSaneparOriginal!$B$4:$AQ$177,42,0)</f>
        <v>4965884.2399999993</v>
      </c>
      <c r="AE46" s="156">
        <f>VLOOKUP(A46,AuxOPEXSaneparOriginal!$B$4:$AR$177,43,0)</f>
        <v>1750831.7599999998</v>
      </c>
      <c r="AF46" s="156">
        <f>+VLOOKUP(A46,AuxOPEXSaneparOriginal!$B$4:$AS$177,44,0)</f>
        <v>2734662.4799999991</v>
      </c>
      <c r="AG46" s="19">
        <f>VLOOKUP(A46,AuxOPEXSaneparOriginal!$B$4:$AT$177,45,0)</f>
        <v>4692439.6699999934</v>
      </c>
      <c r="AH46" s="19">
        <f>VLOOKUP(A46,AuxOPEXSaneparOriginal!$B$4:$AU$177,46,0)</f>
        <v>21524800.120000001</v>
      </c>
      <c r="AI46" s="19">
        <f>VLOOKUP(A46,AuxOPEXSaneparOriginal!$B$4:$AV$177,47,0)</f>
        <v>0</v>
      </c>
      <c r="AJ46" s="58">
        <f t="shared" si="53"/>
        <v>40857564.229999989</v>
      </c>
      <c r="AK46" s="58">
        <f t="shared" si="54"/>
        <v>39391152.044999994</v>
      </c>
      <c r="AL46" s="58">
        <f t="shared" si="55"/>
        <v>40618162.289999992</v>
      </c>
      <c r="AN46" s="167">
        <f t="shared" si="90"/>
        <v>4917641.2899999991</v>
      </c>
      <c r="AO46" s="168">
        <f t="shared" si="91"/>
        <v>4763501.9900000049</v>
      </c>
      <c r="AP46" s="57">
        <f t="shared" si="92"/>
        <v>1262018.5099999998</v>
      </c>
      <c r="AQ46" s="57">
        <f t="shared" si="93"/>
        <v>2043578.46</v>
      </c>
      <c r="AR46" s="57">
        <f t="shared" si="94"/>
        <v>3810953.1499999994</v>
      </c>
      <c r="AS46" s="57">
        <f t="shared" si="95"/>
        <v>20870459.920000002</v>
      </c>
      <c r="AT46" s="57">
        <f t="shared" si="96"/>
        <v>0</v>
      </c>
      <c r="AU46" s="58">
        <f t="shared" si="57"/>
        <v>37668153.320000008</v>
      </c>
      <c r="AV46" s="57">
        <f t="shared" si="97"/>
        <v>5069542.2999999942</v>
      </c>
      <c r="AW46" s="57">
        <f t="shared" si="98"/>
        <v>4917679.8699999982</v>
      </c>
      <c r="AX46" s="57">
        <f t="shared" si="99"/>
        <v>1351693.4599999993</v>
      </c>
      <c r="AY46" s="57">
        <f t="shared" si="100"/>
        <v>2227596.9200000009</v>
      </c>
      <c r="AZ46" s="57">
        <f t="shared" si="101"/>
        <v>4143375.049999997</v>
      </c>
      <c r="BA46" s="57">
        <f t="shared" si="102"/>
        <v>20950242.68</v>
      </c>
      <c r="BB46" s="57">
        <f t="shared" si="103"/>
        <v>0</v>
      </c>
      <c r="BC46" s="58">
        <f t="shared" si="58"/>
        <v>38660130.279999986</v>
      </c>
      <c r="BD46" s="57">
        <f t="shared" si="104"/>
        <v>5322273.6999999955</v>
      </c>
      <c r="BE46" s="57">
        <f t="shared" si="105"/>
        <v>5052694.5100000026</v>
      </c>
      <c r="BF46" s="57">
        <f t="shared" si="106"/>
        <v>1511824.3300000003</v>
      </c>
      <c r="BG46" s="57">
        <f t="shared" si="107"/>
        <v>2508135.5799999973</v>
      </c>
      <c r="BH46" s="57">
        <f t="shared" si="108"/>
        <v>4425281.2000000011</v>
      </c>
      <c r="BI46" s="57">
        <f t="shared" si="109"/>
        <v>21558551.029999994</v>
      </c>
      <c r="BJ46" s="57">
        <f t="shared" si="110"/>
        <v>0</v>
      </c>
      <c r="BK46" s="58">
        <f t="shared" si="64"/>
        <v>40378760.349999987</v>
      </c>
      <c r="BL46" s="57">
        <f t="shared" si="111"/>
        <v>5188945.96</v>
      </c>
      <c r="BM46" s="57">
        <f t="shared" si="112"/>
        <v>4965884.2399999993</v>
      </c>
      <c r="BN46" s="57">
        <f t="shared" si="113"/>
        <v>1750831.7599999998</v>
      </c>
      <c r="BO46" s="57">
        <f t="shared" si="114"/>
        <v>2734662.4799999991</v>
      </c>
      <c r="BP46" s="57">
        <f t="shared" si="115"/>
        <v>4692439.6699999934</v>
      </c>
      <c r="BQ46" s="57">
        <f t="shared" si="116"/>
        <v>21524800.120000001</v>
      </c>
      <c r="BR46" s="57">
        <f t="shared" si="117"/>
        <v>0</v>
      </c>
      <c r="BS46" s="58">
        <f t="shared" si="72"/>
        <v>40857564.229999989</v>
      </c>
      <c r="BT46" s="58">
        <f t="shared" si="73"/>
        <v>39391152.044999994</v>
      </c>
      <c r="BU46" s="58">
        <f t="shared" si="74"/>
        <v>40618162.289999992</v>
      </c>
      <c r="BW46" s="60">
        <f t="shared" si="75"/>
        <v>37668153.320000008</v>
      </c>
      <c r="BX46" s="132">
        <f t="shared" si="76"/>
        <v>38660130.279999986</v>
      </c>
      <c r="BY46" s="132">
        <f t="shared" si="77"/>
        <v>40378760.349999987</v>
      </c>
      <c r="BZ46" s="132">
        <f t="shared" si="78"/>
        <v>40857564.229999989</v>
      </c>
      <c r="CA46" s="60">
        <f t="shared" si="118"/>
        <v>39391152.044999994</v>
      </c>
      <c r="CB46" s="58">
        <f t="shared" si="119"/>
        <v>39519445.314999983</v>
      </c>
      <c r="CC46" s="19"/>
      <c r="CD46" s="60">
        <f t="shared" si="79"/>
        <v>42790566.386864834</v>
      </c>
      <c r="CE46" s="132">
        <f t="shared" si="80"/>
        <v>42209683.079566993</v>
      </c>
      <c r="CF46" s="132">
        <f t="shared" si="81"/>
        <v>42688138.752821498</v>
      </c>
      <c r="CG46" s="132">
        <f t="shared" si="126"/>
        <v>40857564.229999989</v>
      </c>
      <c r="CH46" s="60">
        <f t="shared" si="120"/>
        <v>42136488.11231333</v>
      </c>
      <c r="CI46" s="58">
        <f t="shared" si="121"/>
        <v>42448910.916194245</v>
      </c>
      <c r="CK46" s="61">
        <f t="shared" si="122"/>
        <v>-1.3575031983595109E-2</v>
      </c>
      <c r="CL46" s="62">
        <f t="shared" si="123"/>
        <v>1.1335211220434793E-2</v>
      </c>
      <c r="CM46" s="63">
        <f t="shared" si="124"/>
        <v>-4.2882509669047497E-2</v>
      </c>
      <c r="CN46" s="61">
        <f t="shared" si="125"/>
        <v>-4.517355856869909E-2</v>
      </c>
      <c r="CO46" s="29"/>
      <c r="CP46" s="61">
        <f t="shared" si="82"/>
        <v>1.8026159878026426E-2</v>
      </c>
      <c r="CQ46" s="62">
        <f t="shared" si="83"/>
        <v>1.8174866098177617E-2</v>
      </c>
      <c r="CR46" s="63">
        <f t="shared" si="84"/>
        <v>1.7727242460922395E-2</v>
      </c>
      <c r="CS46" s="61">
        <f t="shared" si="85"/>
        <v>1.6881662596865358E-2</v>
      </c>
      <c r="CU46" s="60">
        <f t="shared" si="86"/>
        <v>100</v>
      </c>
      <c r="CV46" s="132">
        <f t="shared" si="87"/>
        <v>98.64249680164049</v>
      </c>
      <c r="CW46" s="132">
        <f t="shared" si="88"/>
        <v>99.760630338198141</v>
      </c>
      <c r="CX46" s="131">
        <f t="shared" si="89"/>
        <v>95.482644143130088</v>
      </c>
    </row>
    <row r="47" spans="1:102">
      <c r="A47" s="29">
        <v>151</v>
      </c>
      <c r="B47" s="29" t="s">
        <v>2</v>
      </c>
      <c r="C47" s="55" t="s">
        <v>76</v>
      </c>
      <c r="D47" s="56">
        <v>0</v>
      </c>
      <c r="E47" s="57">
        <f>VLOOKUP(A47,AuxOPEXSaneparOriginal!$B$4:$F$177,3,0)</f>
        <v>24281455.630000014</v>
      </c>
      <c r="F47" s="156">
        <f>VLOOKUP(A47,AuxOPEXSaneparOriginal!$B$4:$F$177,4,0)</f>
        <v>19735942.400000028</v>
      </c>
      <c r="G47" s="57">
        <f>VLOOKUP(A47,AuxOPEXSaneparOriginal!$B$4:$K$177,8,0)</f>
        <v>6163874.9800000014</v>
      </c>
      <c r="H47" s="156">
        <f>VLOOKUP(A47,AuxOPEXSaneparOriginal!$B$4:$K$177,9,0)</f>
        <v>10025685.979999999</v>
      </c>
      <c r="I47" s="57">
        <f>VLOOKUP(A47,AuxOPEXSaneparOriginal!$B$4:$N$177,13,0)</f>
        <v>15799118.80000001</v>
      </c>
      <c r="J47" s="57">
        <f>VLOOKUP(A47,AuxOPEXSaneparOriginal!$B$4:$Q$177,16,0)</f>
        <v>87041886.660000011</v>
      </c>
      <c r="K47" s="57">
        <f>VLOOKUP(A47,AuxOPEXSaneparOriginal!$B$4:$V$177,21,0)</f>
        <v>0</v>
      </c>
      <c r="L47" s="58">
        <f t="shared" si="50"/>
        <v>163047964.45000005</v>
      </c>
      <c r="M47" s="19">
        <f>VLOOKUP(A47,AuxOPEXSaneparOriginal!$B$4:$AB$177,27,0)</f>
        <v>24201723.729999993</v>
      </c>
      <c r="N47" s="156">
        <f>VLOOKUP(A47,AuxOPEXSaneparOriginal!$B$4:$AC$177,28,0)</f>
        <v>19734444.600000016</v>
      </c>
      <c r="O47" s="156">
        <f>VLOOKUP(A47,AuxOPEXSaneparOriginal!$B$4:$AD$177,29,0)</f>
        <v>6470428.4800000023</v>
      </c>
      <c r="P47" s="156">
        <f>VLOOKUP(A47,AuxOPEXSaneparOriginal!$B$4:$AE$177,30,0)</f>
        <v>10574560.690000005</v>
      </c>
      <c r="Q47" s="19">
        <f>VLOOKUP(A47,AuxOPEXSaneparOriginal!$B$4:$AF$177,31,0)</f>
        <v>16763858.179999996</v>
      </c>
      <c r="R47" s="19">
        <f>VLOOKUP(A47,AuxOPEXSaneparOriginal!$B$4:$AG$177,32,0)</f>
        <v>85683392.879999995</v>
      </c>
      <c r="S47" s="19">
        <f>VLOOKUP(A47,AuxOPEXSaneparOriginal!$B$4:$AH$177,33,0)</f>
        <v>0</v>
      </c>
      <c r="T47" s="58">
        <f t="shared" si="51"/>
        <v>163428408.56</v>
      </c>
      <c r="U47" s="156">
        <f>VLOOKUP(A47,AuxOPEXSaneparOriginal!$B$4:$AI$177,34,0)</f>
        <v>25658138.319999982</v>
      </c>
      <c r="V47" s="156">
        <f>VLOOKUP(A47,AuxOPEXSaneparOriginal!$B$4:$AJ$177,35,0)</f>
        <v>20443633.250000007</v>
      </c>
      <c r="W47" s="156">
        <f>VLOOKUP(A47,AuxOPEXSaneparOriginal!$B$4:$AK$177,36,0)</f>
        <v>7263307.3199999966</v>
      </c>
      <c r="X47" s="19">
        <f>+VLOOKUP(A47,AuxOPEXSaneparOriginal!$B$4:$AL$177,37,0)</f>
        <v>12048230.649999995</v>
      </c>
      <c r="Y47" s="19">
        <f>VLOOKUP(A47,AuxOPEXSaneparOriginal!$B$4:$AM$177,38,0)</f>
        <v>17780043.489999991</v>
      </c>
      <c r="Z47" s="19">
        <f>VLOOKUP(A47,AuxOPEXSaneparOriginal!$B$4:$AN$177,39,0)</f>
        <v>87540286.849999994</v>
      </c>
      <c r="AA47" s="19">
        <f>VLOOKUP(A47,AuxOPEXSaneparOriginal!$B$4:$AO$177,40,0)</f>
        <v>0</v>
      </c>
      <c r="AB47" s="58">
        <f t="shared" si="52"/>
        <v>170733639.87999997</v>
      </c>
      <c r="AC47" s="156">
        <f>VLOOKUP(A47,AuxOPEXSaneparOriginal!$B$4:$AP$177,41,0)</f>
        <v>21020643.369999994</v>
      </c>
      <c r="AD47" s="156">
        <f>+VLOOKUP(A47,AuxOPEXSaneparOriginal!$B$4:$AQ$177,42,0)</f>
        <v>20271137.149999984</v>
      </c>
      <c r="AE47" s="156">
        <f>VLOOKUP(A47,AuxOPEXSaneparOriginal!$B$4:$AR$177,43,0)</f>
        <v>7336273.7000000011</v>
      </c>
      <c r="AF47" s="156">
        <f>+VLOOKUP(A47,AuxOPEXSaneparOriginal!$B$4:$AS$177,44,0)</f>
        <v>11953594.760000007</v>
      </c>
      <c r="AG47" s="19">
        <f>VLOOKUP(A47,AuxOPEXSaneparOriginal!$B$4:$AT$177,45,0)</f>
        <v>18230493.60000002</v>
      </c>
      <c r="AH47" s="19">
        <f>VLOOKUP(A47,AuxOPEXSaneparOriginal!$B$4:$AU$177,46,0)</f>
        <v>85811383.949999973</v>
      </c>
      <c r="AI47" s="19">
        <f>VLOOKUP(A47,AuxOPEXSaneparOriginal!$B$4:$AV$177,47,0)</f>
        <v>0</v>
      </c>
      <c r="AJ47" s="58">
        <f t="shared" si="53"/>
        <v>164623526.52999997</v>
      </c>
      <c r="AK47" s="58">
        <f t="shared" si="54"/>
        <v>165458384.85500002</v>
      </c>
      <c r="AL47" s="58">
        <f t="shared" si="55"/>
        <v>167678583.20499998</v>
      </c>
      <c r="AN47" s="167">
        <f t="shared" si="90"/>
        <v>24281455.630000014</v>
      </c>
      <c r="AO47" s="168">
        <f t="shared" si="91"/>
        <v>19735942.400000028</v>
      </c>
      <c r="AP47" s="57">
        <f t="shared" si="92"/>
        <v>6163874.9800000014</v>
      </c>
      <c r="AQ47" s="57">
        <f t="shared" si="93"/>
        <v>10025685.979999999</v>
      </c>
      <c r="AR47" s="57">
        <f t="shared" si="94"/>
        <v>15799118.80000001</v>
      </c>
      <c r="AS47" s="57">
        <f t="shared" si="95"/>
        <v>87041886.660000011</v>
      </c>
      <c r="AT47" s="57">
        <f t="shared" si="96"/>
        <v>0</v>
      </c>
      <c r="AU47" s="58">
        <f t="shared" si="57"/>
        <v>163047964.45000005</v>
      </c>
      <c r="AV47" s="57">
        <f t="shared" si="97"/>
        <v>24201723.729999993</v>
      </c>
      <c r="AW47" s="57">
        <f t="shared" si="98"/>
        <v>19734444.600000016</v>
      </c>
      <c r="AX47" s="57">
        <f t="shared" si="99"/>
        <v>6470428.4800000023</v>
      </c>
      <c r="AY47" s="57">
        <f t="shared" si="100"/>
        <v>10574560.690000005</v>
      </c>
      <c r="AZ47" s="57">
        <f t="shared" si="101"/>
        <v>16763858.179999996</v>
      </c>
      <c r="BA47" s="57">
        <f t="shared" si="102"/>
        <v>85683392.879999995</v>
      </c>
      <c r="BB47" s="57">
        <f t="shared" si="103"/>
        <v>0</v>
      </c>
      <c r="BC47" s="58">
        <f t="shared" si="58"/>
        <v>163428408.56</v>
      </c>
      <c r="BD47" s="57">
        <f t="shared" si="104"/>
        <v>25658138.319999982</v>
      </c>
      <c r="BE47" s="57">
        <f t="shared" si="105"/>
        <v>20443633.250000007</v>
      </c>
      <c r="BF47" s="57">
        <f t="shared" si="106"/>
        <v>7263307.3199999966</v>
      </c>
      <c r="BG47" s="57">
        <f t="shared" si="107"/>
        <v>12048230.649999995</v>
      </c>
      <c r="BH47" s="57">
        <f t="shared" si="108"/>
        <v>17780043.489999991</v>
      </c>
      <c r="BI47" s="57">
        <f t="shared" si="109"/>
        <v>87540286.849999994</v>
      </c>
      <c r="BJ47" s="57">
        <f t="shared" si="110"/>
        <v>0</v>
      </c>
      <c r="BK47" s="58">
        <f t="shared" si="64"/>
        <v>170733639.87999997</v>
      </c>
      <c r="BL47" s="57">
        <f t="shared" si="111"/>
        <v>21020643.369999994</v>
      </c>
      <c r="BM47" s="57">
        <f t="shared" si="112"/>
        <v>20271137.149999984</v>
      </c>
      <c r="BN47" s="57">
        <f t="shared" si="113"/>
        <v>7336273.7000000011</v>
      </c>
      <c r="BO47" s="57">
        <f t="shared" si="114"/>
        <v>11953594.760000007</v>
      </c>
      <c r="BP47" s="57">
        <f t="shared" si="115"/>
        <v>18230493.60000002</v>
      </c>
      <c r="BQ47" s="57">
        <f t="shared" si="116"/>
        <v>85811383.949999973</v>
      </c>
      <c r="BR47" s="57">
        <f t="shared" si="117"/>
        <v>0</v>
      </c>
      <c r="BS47" s="58">
        <f t="shared" si="72"/>
        <v>164623526.52999997</v>
      </c>
      <c r="BT47" s="58">
        <f t="shared" si="73"/>
        <v>165458384.85500002</v>
      </c>
      <c r="BU47" s="58">
        <f t="shared" si="74"/>
        <v>167678583.20499998</v>
      </c>
      <c r="BW47" s="60">
        <f t="shared" si="75"/>
        <v>163047964.45000005</v>
      </c>
      <c r="BX47" s="132">
        <f t="shared" si="76"/>
        <v>163428408.56</v>
      </c>
      <c r="BY47" s="132">
        <f t="shared" si="77"/>
        <v>170733639.87999997</v>
      </c>
      <c r="BZ47" s="132">
        <f t="shared" si="78"/>
        <v>164623526.52999997</v>
      </c>
      <c r="CA47" s="60">
        <f t="shared" si="118"/>
        <v>165458384.85499999</v>
      </c>
      <c r="CB47" s="58">
        <f t="shared" si="119"/>
        <v>164025967.54499999</v>
      </c>
      <c r="CD47" s="60">
        <f t="shared" si="79"/>
        <v>185220514.7348302</v>
      </c>
      <c r="CE47" s="132">
        <f t="shared" si="80"/>
        <v>178433473.49205041</v>
      </c>
      <c r="CF47" s="132">
        <f t="shared" si="81"/>
        <v>180498391.87229282</v>
      </c>
      <c r="CG47" s="132">
        <f t="shared" si="126"/>
        <v>164623526.52999997</v>
      </c>
      <c r="CH47" s="60">
        <f t="shared" si="120"/>
        <v>177193976.65729335</v>
      </c>
      <c r="CI47" s="58">
        <f t="shared" si="121"/>
        <v>179465932.68217161</v>
      </c>
      <c r="CK47" s="61">
        <f t="shared" si="122"/>
        <v>-3.6643031969198492E-2</v>
      </c>
      <c r="CL47" s="62">
        <f t="shared" si="123"/>
        <v>1.1572483233278641E-2</v>
      </c>
      <c r="CM47" s="63">
        <f t="shared" si="124"/>
        <v>-8.7950176052120854E-2</v>
      </c>
      <c r="CN47" s="61">
        <f t="shared" si="125"/>
        <v>-0.11120252113713092</v>
      </c>
      <c r="CO47" s="29"/>
      <c r="CP47" s="61">
        <f t="shared" si="82"/>
        <v>7.8026885204428964E-2</v>
      </c>
      <c r="CQ47" s="62">
        <f t="shared" si="83"/>
        <v>7.6830818228072084E-2</v>
      </c>
      <c r="CR47" s="63">
        <f t="shared" si="84"/>
        <v>7.4956155269600033E-2</v>
      </c>
      <c r="CS47" s="61">
        <f t="shared" si="85"/>
        <v>6.8019689444555345E-2</v>
      </c>
      <c r="CU47" s="60">
        <f t="shared" si="86"/>
        <v>100</v>
      </c>
      <c r="CV47" s="132">
        <f t="shared" si="87"/>
        <v>96.335696803080154</v>
      </c>
      <c r="CW47" s="132">
        <f t="shared" si="88"/>
        <v>97.450540039099991</v>
      </c>
      <c r="CX47" s="131">
        <f t="shared" si="89"/>
        <v>88.879747886286907</v>
      </c>
    </row>
    <row r="48" spans="1:102">
      <c r="A48" s="29">
        <v>152</v>
      </c>
      <c r="B48" s="29" t="s">
        <v>2</v>
      </c>
      <c r="C48" s="55" t="s">
        <v>77</v>
      </c>
      <c r="D48" s="56">
        <v>0</v>
      </c>
      <c r="E48" s="57">
        <f>VLOOKUP(A48,AuxOPEXSaneparOriginal!$B$4:$F$177,3,0)</f>
        <v>1853</v>
      </c>
      <c r="F48" s="156">
        <f>VLOOKUP(A48,AuxOPEXSaneparOriginal!$B$4:$F$177,4,0)</f>
        <v>1055</v>
      </c>
      <c r="G48" s="57">
        <f>VLOOKUP(A48,AuxOPEXSaneparOriginal!$B$4:$K$177,8,0)</f>
        <v>0</v>
      </c>
      <c r="H48" s="156">
        <f>VLOOKUP(A48,AuxOPEXSaneparOriginal!$B$4:$K$177,9,0)</f>
        <v>1199.17</v>
      </c>
      <c r="I48" s="57">
        <f>VLOOKUP(A48,AuxOPEXSaneparOriginal!$B$4:$N$177,13,0)</f>
        <v>3900.6000000000004</v>
      </c>
      <c r="J48" s="57">
        <f>VLOOKUP(A48,AuxOPEXSaneparOriginal!$B$4:$Q$177,16,0)</f>
        <v>4153.47</v>
      </c>
      <c r="K48" s="57">
        <f>VLOOKUP(A48,AuxOPEXSaneparOriginal!$B$4:$V$177,21,0)</f>
        <v>0</v>
      </c>
      <c r="L48" s="157">
        <f t="shared" si="50"/>
        <v>12161.240000000002</v>
      </c>
      <c r="M48" s="19">
        <f>VLOOKUP(A48,AuxOPEXSaneparOriginal!$B$4:$AB$177,27,0)</f>
        <v>778.90000000000009</v>
      </c>
      <c r="N48" s="156">
        <f>VLOOKUP(A48,AuxOPEXSaneparOriginal!$B$4:$AC$177,28,0)</f>
        <v>0</v>
      </c>
      <c r="O48" s="156">
        <f>VLOOKUP(A48,AuxOPEXSaneparOriginal!$B$4:$AD$177,29,0)</f>
        <v>0</v>
      </c>
      <c r="P48" s="156">
        <f>VLOOKUP(A48,AuxOPEXSaneparOriginal!$B$4:$AE$177,30,0)</f>
        <v>808</v>
      </c>
      <c r="Q48" s="146">
        <f>VLOOKUP(A48,AuxOPEXSaneparOriginal!$B$4:$AF$177,31,0)</f>
        <v>3565.68</v>
      </c>
      <c r="R48" s="146">
        <f>VLOOKUP(A48,AuxOPEXSaneparOriginal!$B$4:$AG$177,32,0)</f>
        <v>682826.7</v>
      </c>
      <c r="S48" s="146">
        <f>VLOOKUP(A48,AuxOPEXSaneparOriginal!$B$4:$AH$177,33,0)</f>
        <v>0</v>
      </c>
      <c r="T48" s="157">
        <f t="shared" si="51"/>
        <v>687979.27999999991</v>
      </c>
      <c r="U48" s="156">
        <f>VLOOKUP(A48,AuxOPEXSaneparOriginal!$B$4:$AI$177,34,0)</f>
        <v>0</v>
      </c>
      <c r="V48" s="156">
        <f>VLOOKUP(A48,AuxOPEXSaneparOriginal!$B$4:$AJ$177,35,0)</f>
        <v>0</v>
      </c>
      <c r="W48" s="156">
        <f>VLOOKUP(A48,AuxOPEXSaneparOriginal!$B$4:$AK$177,36,0)</f>
        <v>0</v>
      </c>
      <c r="X48" s="19">
        <f>+VLOOKUP(A48,AuxOPEXSaneparOriginal!$B$4:$AL$177,37,0)</f>
        <v>0</v>
      </c>
      <c r="Y48" s="146">
        <f>VLOOKUP(A48,AuxOPEXSaneparOriginal!$B$4:$AM$177,38,0)</f>
        <v>0</v>
      </c>
      <c r="Z48" s="146">
        <f>VLOOKUP(A48,AuxOPEXSaneparOriginal!$B$4:$AN$177,39,0)</f>
        <v>0</v>
      </c>
      <c r="AA48" s="146">
        <f>VLOOKUP(A48,AuxOPEXSaneparOriginal!$B$4:$AO$177,40,0)</f>
        <v>0</v>
      </c>
      <c r="AB48" s="157">
        <f t="shared" si="52"/>
        <v>0</v>
      </c>
      <c r="AC48" s="156">
        <f>VLOOKUP(A48,AuxOPEXSaneparOriginal!$B$4:$AP$177,41,0)</f>
        <v>0</v>
      </c>
      <c r="AD48" s="156">
        <f>+VLOOKUP(A48,AuxOPEXSaneparOriginal!$B$4:$AQ$177,42,0)</f>
        <v>0</v>
      </c>
      <c r="AE48" s="156">
        <f>VLOOKUP(A48,AuxOPEXSaneparOriginal!$B$4:$AR$177,43,0)</f>
        <v>0</v>
      </c>
      <c r="AF48" s="156">
        <f>+VLOOKUP(A48,AuxOPEXSaneparOriginal!$B$4:$AS$177,44,0)</f>
        <v>0</v>
      </c>
      <c r="AG48" s="146">
        <f>VLOOKUP(A48,AuxOPEXSaneparOriginal!$B$4:$AT$177,45,0)</f>
        <v>0</v>
      </c>
      <c r="AH48" s="146">
        <f>VLOOKUP(A48,AuxOPEXSaneparOriginal!$B$4:$AU$177,46,0)</f>
        <v>0</v>
      </c>
      <c r="AI48" s="146">
        <f>VLOOKUP(A48,AuxOPEXSaneparOriginal!$B$4:$AV$177,47,0)</f>
        <v>0</v>
      </c>
      <c r="AJ48" s="157">
        <f t="shared" si="53"/>
        <v>0</v>
      </c>
      <c r="AK48" s="157">
        <f t="shared" si="54"/>
        <v>175035.12999999998</v>
      </c>
      <c r="AL48" s="157">
        <f t="shared" si="55"/>
        <v>0</v>
      </c>
      <c r="AM48" s="144"/>
      <c r="AN48" s="167">
        <f t="shared" si="90"/>
        <v>1853</v>
      </c>
      <c r="AO48" s="168">
        <f t="shared" si="91"/>
        <v>1055</v>
      </c>
      <c r="AP48" s="57">
        <f t="shared" si="92"/>
        <v>0</v>
      </c>
      <c r="AQ48" s="57">
        <f t="shared" si="93"/>
        <v>1199.17</v>
      </c>
      <c r="AR48" s="57">
        <f t="shared" si="94"/>
        <v>3900.6000000000004</v>
      </c>
      <c r="AS48" s="57">
        <f t="shared" si="95"/>
        <v>4153.47</v>
      </c>
      <c r="AT48" s="57">
        <f t="shared" si="96"/>
        <v>0</v>
      </c>
      <c r="AU48" s="157">
        <f t="shared" si="57"/>
        <v>12161.240000000002</v>
      </c>
      <c r="AV48" s="57">
        <f t="shared" si="97"/>
        <v>778.90000000000009</v>
      </c>
      <c r="AW48" s="57">
        <f t="shared" si="98"/>
        <v>0</v>
      </c>
      <c r="AX48" s="57">
        <f t="shared" si="99"/>
        <v>0</v>
      </c>
      <c r="AY48" s="57">
        <f t="shared" si="100"/>
        <v>808</v>
      </c>
      <c r="AZ48" s="57">
        <f t="shared" si="101"/>
        <v>3565.68</v>
      </c>
      <c r="BA48" s="57">
        <f t="shared" si="102"/>
        <v>682826.7</v>
      </c>
      <c r="BB48" s="57">
        <f t="shared" si="103"/>
        <v>0</v>
      </c>
      <c r="BC48" s="157">
        <f t="shared" si="58"/>
        <v>687979.27999999991</v>
      </c>
      <c r="BD48" s="57">
        <f t="shared" si="104"/>
        <v>0</v>
      </c>
      <c r="BE48" s="57">
        <f t="shared" si="105"/>
        <v>0</v>
      </c>
      <c r="BF48" s="57">
        <f t="shared" si="106"/>
        <v>0</v>
      </c>
      <c r="BG48" s="57">
        <f t="shared" si="107"/>
        <v>0</v>
      </c>
      <c r="BH48" s="57">
        <f t="shared" si="108"/>
        <v>0</v>
      </c>
      <c r="BI48" s="57">
        <f t="shared" si="109"/>
        <v>0</v>
      </c>
      <c r="BJ48" s="57">
        <f t="shared" si="110"/>
        <v>0</v>
      </c>
      <c r="BK48" s="157">
        <f t="shared" si="64"/>
        <v>0</v>
      </c>
      <c r="BL48" s="57">
        <f t="shared" si="111"/>
        <v>0</v>
      </c>
      <c r="BM48" s="57">
        <f t="shared" si="112"/>
        <v>0</v>
      </c>
      <c r="BN48" s="57">
        <f t="shared" si="113"/>
        <v>0</v>
      </c>
      <c r="BO48" s="57">
        <f t="shared" si="114"/>
        <v>0</v>
      </c>
      <c r="BP48" s="57">
        <f t="shared" si="115"/>
        <v>0</v>
      </c>
      <c r="BQ48" s="57">
        <f t="shared" si="116"/>
        <v>0</v>
      </c>
      <c r="BR48" s="57">
        <f t="shared" si="117"/>
        <v>0</v>
      </c>
      <c r="BS48" s="157">
        <f t="shared" si="72"/>
        <v>0</v>
      </c>
      <c r="BT48" s="157">
        <f t="shared" si="73"/>
        <v>175035.12999999998</v>
      </c>
      <c r="BU48" s="157">
        <f t="shared" si="74"/>
        <v>0</v>
      </c>
      <c r="BV48" s="144"/>
      <c r="BW48" s="158">
        <f t="shared" si="75"/>
        <v>12161.240000000002</v>
      </c>
      <c r="BX48" s="159">
        <f t="shared" si="76"/>
        <v>687979.27999999991</v>
      </c>
      <c r="BY48" s="159">
        <f t="shared" si="77"/>
        <v>0</v>
      </c>
      <c r="BZ48" s="159">
        <f t="shared" si="78"/>
        <v>0</v>
      </c>
      <c r="CA48" s="158">
        <f t="shared" si="118"/>
        <v>175035.12999999998</v>
      </c>
      <c r="CB48" s="157">
        <f t="shared" si="119"/>
        <v>6080.6200000000008</v>
      </c>
      <c r="CC48" s="144"/>
      <c r="CD48" s="158">
        <f t="shared" si="79"/>
        <v>13815.021488996001</v>
      </c>
      <c r="CE48" s="159">
        <f t="shared" si="80"/>
        <v>751145.61600770394</v>
      </c>
      <c r="CF48" s="159">
        <f t="shared" si="81"/>
        <v>0</v>
      </c>
      <c r="CG48" s="159">
        <f t="shared" si="126"/>
        <v>0</v>
      </c>
      <c r="CH48" s="158">
        <f t="shared" si="120"/>
        <v>191240.15937417498</v>
      </c>
      <c r="CI48" s="157">
        <f t="shared" si="121"/>
        <v>6907.5107444980003</v>
      </c>
      <c r="CK48" s="61">
        <f t="shared" si="122"/>
        <v>53.371657445919254</v>
      </c>
      <c r="CL48" s="62">
        <f t="shared" si="123"/>
        <v>-1</v>
      </c>
      <c r="CM48" s="63">
        <f t="shared" si="124"/>
        <v>0</v>
      </c>
      <c r="CN48" s="61">
        <f t="shared" si="125"/>
        <v>-1</v>
      </c>
      <c r="CO48" s="29"/>
      <c r="CP48" s="61">
        <f t="shared" si="82"/>
        <v>5.8197824218437179E-6</v>
      </c>
      <c r="CQ48" s="62">
        <f t="shared" si="83"/>
        <v>3.2343220785236961E-4</v>
      </c>
      <c r="CR48" s="63">
        <f t="shared" si="84"/>
        <v>0</v>
      </c>
      <c r="CS48" s="61">
        <f t="shared" si="85"/>
        <v>0</v>
      </c>
      <c r="CU48" s="60">
        <f t="shared" si="86"/>
        <v>100</v>
      </c>
      <c r="CV48" s="132">
        <f t="shared" si="87"/>
        <v>5437.1657445919254</v>
      </c>
      <c r="CW48" s="132">
        <f t="shared" si="88"/>
        <v>0</v>
      </c>
      <c r="CX48" s="131">
        <f t="shared" si="89"/>
        <v>0</v>
      </c>
    </row>
    <row r="49" spans="1:102">
      <c r="A49" s="29">
        <v>153</v>
      </c>
      <c r="B49" s="29" t="s">
        <v>2</v>
      </c>
      <c r="C49" s="55" t="s">
        <v>78</v>
      </c>
      <c r="D49" s="56">
        <v>0</v>
      </c>
      <c r="E49" s="57">
        <f>VLOOKUP(A49,AuxOPEXSaneparOriginal!$B$4:$F$177,3,0)</f>
        <v>5527851.8200000031</v>
      </c>
      <c r="F49" s="156">
        <f>VLOOKUP(A49,AuxOPEXSaneparOriginal!$B$4:$F$177,4,0)</f>
        <v>5273043.8899999969</v>
      </c>
      <c r="G49" s="57">
        <f>VLOOKUP(A49,AuxOPEXSaneparOriginal!$B$4:$K$177,8,0)</f>
        <v>1392621.07</v>
      </c>
      <c r="H49" s="156">
        <f>VLOOKUP(A49,AuxOPEXSaneparOriginal!$B$4:$K$177,9,0)</f>
        <v>2253033.1800000002</v>
      </c>
      <c r="I49" s="57">
        <f>VLOOKUP(A49,AuxOPEXSaneparOriginal!$B$4:$N$177,13,0)</f>
        <v>4221946.0200000005</v>
      </c>
      <c r="J49" s="57">
        <f>VLOOKUP(A49,AuxOPEXSaneparOriginal!$B$4:$Q$177,16,0)</f>
        <v>23413268.480000004</v>
      </c>
      <c r="K49" s="57">
        <f>VLOOKUP(A49,AuxOPEXSaneparOriginal!$B$4:$V$177,21,0)</f>
        <v>0</v>
      </c>
      <c r="L49" s="157">
        <f t="shared" si="50"/>
        <v>42081764.460000008</v>
      </c>
      <c r="M49" s="19">
        <f>VLOOKUP(A49,AuxOPEXSaneparOriginal!$B$4:$AB$177,27,0)</f>
        <v>5594241.7399999984</v>
      </c>
      <c r="N49" s="156">
        <f>VLOOKUP(A49,AuxOPEXSaneparOriginal!$B$4:$AC$177,28,0)</f>
        <v>5360264.8300000038</v>
      </c>
      <c r="O49" s="156">
        <f>VLOOKUP(A49,AuxOPEXSaneparOriginal!$B$4:$AD$177,29,0)</f>
        <v>1484253.0900000003</v>
      </c>
      <c r="P49" s="156">
        <f>VLOOKUP(A49,AuxOPEXSaneparOriginal!$B$4:$AE$177,30,0)</f>
        <v>2422193.2800000003</v>
      </c>
      <c r="Q49" s="146">
        <f>VLOOKUP(A49,AuxOPEXSaneparOriginal!$B$4:$AF$177,31,0)</f>
        <v>4557786.1500000004</v>
      </c>
      <c r="R49" s="146">
        <f>VLOOKUP(A49,AuxOPEXSaneparOriginal!$B$4:$AG$177,32,0)</f>
        <v>23362918.420000002</v>
      </c>
      <c r="S49" s="146">
        <f>VLOOKUP(A49,AuxOPEXSaneparOriginal!$B$4:$AH$177,33,0)</f>
        <v>0</v>
      </c>
      <c r="T49" s="157">
        <f t="shared" si="51"/>
        <v>42781657.510000005</v>
      </c>
      <c r="U49" s="156">
        <f>VLOOKUP(A49,AuxOPEXSaneparOriginal!$B$4:$AI$177,34,0)</f>
        <v>5980110.0199999986</v>
      </c>
      <c r="V49" s="156">
        <f>VLOOKUP(A49,AuxOPEXSaneparOriginal!$B$4:$AJ$177,35,0)</f>
        <v>5615279.5900000017</v>
      </c>
      <c r="W49" s="156">
        <f>VLOOKUP(A49,AuxOPEXSaneparOriginal!$B$4:$AK$177,36,0)</f>
        <v>1688825.1700000004</v>
      </c>
      <c r="X49" s="19">
        <f>+VLOOKUP(A49,AuxOPEXSaneparOriginal!$B$4:$AL$177,37,0)</f>
        <v>2780124.17</v>
      </c>
      <c r="Y49" s="146">
        <f>VLOOKUP(A49,AuxOPEXSaneparOriginal!$B$4:$AM$177,38,0)</f>
        <v>4880945.8599999966</v>
      </c>
      <c r="Z49" s="146">
        <f>VLOOKUP(A49,AuxOPEXSaneparOriginal!$B$4:$AN$177,39,0)</f>
        <v>24208934.59</v>
      </c>
      <c r="AA49" s="146">
        <f>VLOOKUP(A49,AuxOPEXSaneparOriginal!$B$4:$AO$177,40,0)</f>
        <v>0</v>
      </c>
      <c r="AB49" s="157">
        <f t="shared" si="52"/>
        <v>45154219.399999991</v>
      </c>
      <c r="AC49" s="156">
        <f>VLOOKUP(A49,AuxOPEXSaneparOriginal!$B$4:$AP$177,41,0)</f>
        <v>5768668.2800000003</v>
      </c>
      <c r="AD49" s="156">
        <f>+VLOOKUP(A49,AuxOPEXSaneparOriginal!$B$4:$AQ$177,42,0)</f>
        <v>5455852.8500000043</v>
      </c>
      <c r="AE49" s="156">
        <f>VLOOKUP(A49,AuxOPEXSaneparOriginal!$B$4:$AR$177,43,0)</f>
        <v>1899339.2599999995</v>
      </c>
      <c r="AF49" s="156">
        <f>+VLOOKUP(A49,AuxOPEXSaneparOriginal!$B$4:$AS$177,44,0)</f>
        <v>3003784.7500000014</v>
      </c>
      <c r="AG49" s="146">
        <f>VLOOKUP(A49,AuxOPEXSaneparOriginal!$B$4:$AT$177,45,0)</f>
        <v>5044662.8199999947</v>
      </c>
      <c r="AH49" s="146">
        <f>VLOOKUP(A49,AuxOPEXSaneparOriginal!$B$4:$AU$177,46,0)</f>
        <v>23589193.490000002</v>
      </c>
      <c r="AI49" s="146">
        <f>VLOOKUP(A49,AuxOPEXSaneparOriginal!$B$4:$AV$177,47,0)</f>
        <v>0</v>
      </c>
      <c r="AJ49" s="157">
        <f t="shared" si="53"/>
        <v>44761501.450000003</v>
      </c>
      <c r="AK49" s="157">
        <f t="shared" si="54"/>
        <v>43694785.704999998</v>
      </c>
      <c r="AL49" s="157">
        <f t="shared" si="55"/>
        <v>44957860.424999997</v>
      </c>
      <c r="AM49" s="144"/>
      <c r="AN49" s="167">
        <f t="shared" si="90"/>
        <v>5527851.8200000031</v>
      </c>
      <c r="AO49" s="168">
        <f t="shared" si="91"/>
        <v>5273043.8899999969</v>
      </c>
      <c r="AP49" s="57">
        <f t="shared" si="92"/>
        <v>1392621.07</v>
      </c>
      <c r="AQ49" s="57">
        <f t="shared" si="93"/>
        <v>2253033.1800000002</v>
      </c>
      <c r="AR49" s="57">
        <f t="shared" si="94"/>
        <v>4221946.0200000005</v>
      </c>
      <c r="AS49" s="57">
        <f t="shared" si="95"/>
        <v>23413268.480000004</v>
      </c>
      <c r="AT49" s="57">
        <f t="shared" si="96"/>
        <v>0</v>
      </c>
      <c r="AU49" s="157">
        <f t="shared" si="57"/>
        <v>42081764.460000008</v>
      </c>
      <c r="AV49" s="57">
        <f t="shared" si="97"/>
        <v>5594241.7399999984</v>
      </c>
      <c r="AW49" s="57">
        <f t="shared" si="98"/>
        <v>5360264.8300000038</v>
      </c>
      <c r="AX49" s="57">
        <f t="shared" si="99"/>
        <v>1484253.0900000003</v>
      </c>
      <c r="AY49" s="57">
        <f t="shared" si="100"/>
        <v>2422193.2800000003</v>
      </c>
      <c r="AZ49" s="57">
        <f t="shared" si="101"/>
        <v>4557786.1500000004</v>
      </c>
      <c r="BA49" s="57">
        <f t="shared" si="102"/>
        <v>23362918.420000002</v>
      </c>
      <c r="BB49" s="57">
        <f t="shared" si="103"/>
        <v>0</v>
      </c>
      <c r="BC49" s="157">
        <f t="shared" si="58"/>
        <v>42781657.510000005</v>
      </c>
      <c r="BD49" s="57">
        <f t="shared" si="104"/>
        <v>5980110.0199999986</v>
      </c>
      <c r="BE49" s="57">
        <f t="shared" si="105"/>
        <v>5615279.5900000017</v>
      </c>
      <c r="BF49" s="57">
        <f t="shared" si="106"/>
        <v>1688825.1700000004</v>
      </c>
      <c r="BG49" s="57">
        <f t="shared" si="107"/>
        <v>2780124.17</v>
      </c>
      <c r="BH49" s="57">
        <f t="shared" si="108"/>
        <v>4880945.8599999966</v>
      </c>
      <c r="BI49" s="57">
        <f t="shared" si="109"/>
        <v>24208934.59</v>
      </c>
      <c r="BJ49" s="57">
        <f t="shared" si="110"/>
        <v>0</v>
      </c>
      <c r="BK49" s="157">
        <f t="shared" si="64"/>
        <v>45154219.399999991</v>
      </c>
      <c r="BL49" s="57">
        <f t="shared" si="111"/>
        <v>5768668.2800000003</v>
      </c>
      <c r="BM49" s="57">
        <f t="shared" si="112"/>
        <v>5455852.8500000043</v>
      </c>
      <c r="BN49" s="57">
        <f t="shared" si="113"/>
        <v>1899339.2599999995</v>
      </c>
      <c r="BO49" s="57">
        <f t="shared" si="114"/>
        <v>3003784.7500000014</v>
      </c>
      <c r="BP49" s="57">
        <f t="shared" si="115"/>
        <v>5044662.8199999947</v>
      </c>
      <c r="BQ49" s="57">
        <f t="shared" si="116"/>
        <v>23589193.490000002</v>
      </c>
      <c r="BR49" s="57">
        <f t="shared" si="117"/>
        <v>0</v>
      </c>
      <c r="BS49" s="157">
        <f t="shared" si="72"/>
        <v>44761501.450000003</v>
      </c>
      <c r="BT49" s="157">
        <f t="shared" si="73"/>
        <v>43694785.704999998</v>
      </c>
      <c r="BU49" s="157">
        <f t="shared" si="74"/>
        <v>44957860.424999997</v>
      </c>
      <c r="BV49" s="144"/>
      <c r="BW49" s="158">
        <f t="shared" si="75"/>
        <v>42081764.460000008</v>
      </c>
      <c r="BX49" s="159">
        <f t="shared" si="76"/>
        <v>42781657.510000005</v>
      </c>
      <c r="BY49" s="159">
        <f t="shared" si="77"/>
        <v>45154219.399999991</v>
      </c>
      <c r="BZ49" s="159">
        <f t="shared" si="78"/>
        <v>44761501.450000003</v>
      </c>
      <c r="CA49" s="158">
        <f t="shared" si="118"/>
        <v>43694785.704999998</v>
      </c>
      <c r="CB49" s="157">
        <f t="shared" si="119"/>
        <v>43771579.480000004</v>
      </c>
      <c r="CC49" s="144"/>
      <c r="CD49" s="158">
        <f t="shared" si="79"/>
        <v>47804375.237210043</v>
      </c>
      <c r="CE49" s="159">
        <f t="shared" si="80"/>
        <v>46709625.447120398</v>
      </c>
      <c r="CF49" s="159">
        <f t="shared" si="81"/>
        <v>47736720.154722251</v>
      </c>
      <c r="CG49" s="159">
        <f t="shared" si="126"/>
        <v>44761501.450000003</v>
      </c>
      <c r="CH49" s="158">
        <f t="shared" si="120"/>
        <v>46753055.572263166</v>
      </c>
      <c r="CI49" s="157">
        <f t="shared" si="121"/>
        <v>47223172.800921321</v>
      </c>
      <c r="CK49" s="61">
        <f t="shared" si="122"/>
        <v>-2.2900619130725719E-2</v>
      </c>
      <c r="CL49" s="62">
        <f t="shared" si="123"/>
        <v>2.1988930499231119E-2</v>
      </c>
      <c r="CM49" s="63">
        <f t="shared" si="124"/>
        <v>-6.2325578612839272E-2</v>
      </c>
      <c r="CN49" s="61">
        <f t="shared" si="125"/>
        <v>-6.3652621169317691E-2</v>
      </c>
      <c r="CO49" s="29"/>
      <c r="CP49" s="61">
        <f t="shared" si="82"/>
        <v>2.0138301117688304E-2</v>
      </c>
      <c r="CQ49" s="62">
        <f t="shared" si="83"/>
        <v>2.0112474817618364E-2</v>
      </c>
      <c r="CR49" s="63">
        <f t="shared" si="84"/>
        <v>1.9823783308332444E-2</v>
      </c>
      <c r="CS49" s="61">
        <f t="shared" si="85"/>
        <v>1.8494704201019372E-2</v>
      </c>
      <c r="CU49" s="60">
        <f t="shared" si="86"/>
        <v>100</v>
      </c>
      <c r="CV49" s="132">
        <f t="shared" si="87"/>
        <v>97.709938086927423</v>
      </c>
      <c r="CW49" s="132">
        <f t="shared" si="88"/>
        <v>99.858475124605064</v>
      </c>
      <c r="CX49" s="131">
        <f t="shared" si="89"/>
        <v>93.634737883068226</v>
      </c>
    </row>
    <row r="50" spans="1:102">
      <c r="A50" s="29">
        <v>154</v>
      </c>
      <c r="B50" s="29" t="s">
        <v>2</v>
      </c>
      <c r="C50" s="55" t="s">
        <v>79</v>
      </c>
      <c r="D50" s="56">
        <v>0</v>
      </c>
      <c r="E50" s="57">
        <f>VLOOKUP(A50,AuxOPEXSaneparOriginal!$B$4:$F$177,3,0)</f>
        <v>7294258.0600000052</v>
      </c>
      <c r="F50" s="156">
        <f>VLOOKUP(A50,AuxOPEXSaneparOriginal!$B$4:$F$177,4,0)</f>
        <v>6960007.6099999947</v>
      </c>
      <c r="G50" s="57">
        <f>VLOOKUP(A50,AuxOPEXSaneparOriginal!$B$4:$K$177,8,0)</f>
        <v>1977706.9499999997</v>
      </c>
      <c r="H50" s="156">
        <f>VLOOKUP(A50,AuxOPEXSaneparOriginal!$B$4:$K$177,9,0)</f>
        <v>2887048.7599999993</v>
      </c>
      <c r="I50" s="57">
        <f>VLOOKUP(A50,AuxOPEXSaneparOriginal!$B$4:$N$177,13,0)</f>
        <v>6592580.3399999999</v>
      </c>
      <c r="J50" s="57">
        <f>VLOOKUP(A50,AuxOPEXSaneparOriginal!$B$4:$Q$177,16,0)</f>
        <v>34341422.109999999</v>
      </c>
      <c r="K50" s="57">
        <f>VLOOKUP(A50,AuxOPEXSaneparOriginal!$B$4:$V$177,21,0)</f>
        <v>0</v>
      </c>
      <c r="L50" s="157">
        <f t="shared" si="50"/>
        <v>60053023.829999998</v>
      </c>
      <c r="M50" s="19">
        <f>VLOOKUP(A50,AuxOPEXSaneparOriginal!$B$4:$AB$177,27,0)</f>
        <v>7522120.7600000007</v>
      </c>
      <c r="N50" s="156">
        <f>VLOOKUP(A50,AuxOPEXSaneparOriginal!$B$4:$AC$177,28,0)</f>
        <v>7030827.4000000004</v>
      </c>
      <c r="O50" s="156">
        <f>VLOOKUP(A50,AuxOPEXSaneparOriginal!$B$4:$AD$177,29,0)</f>
        <v>2099957.6799999992</v>
      </c>
      <c r="P50" s="156">
        <f>VLOOKUP(A50,AuxOPEXSaneparOriginal!$B$4:$AE$177,30,0)</f>
        <v>3078034.26</v>
      </c>
      <c r="Q50" s="146">
        <f>VLOOKUP(A50,AuxOPEXSaneparOriginal!$B$4:$AF$177,31,0)</f>
        <v>7273679.0699999975</v>
      </c>
      <c r="R50" s="146">
        <f>VLOOKUP(A50,AuxOPEXSaneparOriginal!$B$4:$AG$177,32,0)</f>
        <v>37770504.25</v>
      </c>
      <c r="S50" s="146">
        <f>VLOOKUP(A50,AuxOPEXSaneparOriginal!$B$4:$AH$177,33,0)</f>
        <v>0</v>
      </c>
      <c r="T50" s="157">
        <f t="shared" si="51"/>
        <v>64775123.420000002</v>
      </c>
      <c r="U50" s="156">
        <f>VLOOKUP(A50,AuxOPEXSaneparOriginal!$B$4:$AI$177,34,0)</f>
        <v>8176683.2199999979</v>
      </c>
      <c r="V50" s="156">
        <f>VLOOKUP(A50,AuxOPEXSaneparOriginal!$B$4:$AJ$177,35,0)</f>
        <v>7515498.7699999958</v>
      </c>
      <c r="W50" s="156">
        <f>VLOOKUP(A50,AuxOPEXSaneparOriginal!$B$4:$AK$177,36,0)</f>
        <v>2416390.8600000003</v>
      </c>
      <c r="X50" s="19">
        <f>+VLOOKUP(A50,AuxOPEXSaneparOriginal!$B$4:$AL$177,37,0)</f>
        <v>3497479.9699999983</v>
      </c>
      <c r="Y50" s="146">
        <f>VLOOKUP(A50,AuxOPEXSaneparOriginal!$B$4:$AM$177,38,0)</f>
        <v>8184791.1999999983</v>
      </c>
      <c r="Z50" s="146">
        <f>VLOOKUP(A50,AuxOPEXSaneparOriginal!$B$4:$AN$177,39,0)</f>
        <v>39281097.589999996</v>
      </c>
      <c r="AA50" s="146">
        <f>VLOOKUP(A50,AuxOPEXSaneparOriginal!$B$4:$AO$177,40,0)</f>
        <v>0</v>
      </c>
      <c r="AB50" s="157">
        <f t="shared" si="52"/>
        <v>69071941.609999985</v>
      </c>
      <c r="AC50" s="156">
        <f>VLOOKUP(A50,AuxOPEXSaneparOriginal!$B$4:$AP$177,41,0)</f>
        <v>8654405.549999997</v>
      </c>
      <c r="AD50" s="156">
        <f>+VLOOKUP(A50,AuxOPEXSaneparOriginal!$B$4:$AQ$177,42,0)</f>
        <v>7994648.6299999971</v>
      </c>
      <c r="AE50" s="156">
        <f>VLOOKUP(A50,AuxOPEXSaneparOriginal!$B$4:$AR$177,43,0)</f>
        <v>2920641.1899999995</v>
      </c>
      <c r="AF50" s="156">
        <f>+VLOOKUP(A50,AuxOPEXSaneparOriginal!$B$4:$AS$177,44,0)</f>
        <v>3930138.6000000006</v>
      </c>
      <c r="AG50" s="146">
        <f>VLOOKUP(A50,AuxOPEXSaneparOriginal!$B$4:$AT$177,45,0)</f>
        <v>8423679.1499999929</v>
      </c>
      <c r="AH50" s="146">
        <f>VLOOKUP(A50,AuxOPEXSaneparOriginal!$B$4:$AU$177,46,0)</f>
        <v>41958895.68</v>
      </c>
      <c r="AI50" s="146">
        <f>VLOOKUP(A50,AuxOPEXSaneparOriginal!$B$4:$AV$177,47,0)</f>
        <v>0</v>
      </c>
      <c r="AJ50" s="157">
        <f t="shared" si="53"/>
        <v>73882408.799999982</v>
      </c>
      <c r="AK50" s="157">
        <f t="shared" si="54"/>
        <v>66945624.414999992</v>
      </c>
      <c r="AL50" s="157">
        <f t="shared" si="55"/>
        <v>71477175.204999983</v>
      </c>
      <c r="AM50" s="144"/>
      <c r="AN50" s="167">
        <f t="shared" si="90"/>
        <v>7294258.0600000052</v>
      </c>
      <c r="AO50" s="168">
        <f t="shared" si="91"/>
        <v>6960007.6099999947</v>
      </c>
      <c r="AP50" s="57">
        <f t="shared" si="92"/>
        <v>1977706.9499999997</v>
      </c>
      <c r="AQ50" s="57">
        <f t="shared" si="93"/>
        <v>2887048.7599999993</v>
      </c>
      <c r="AR50" s="57">
        <f t="shared" si="94"/>
        <v>6592580.3399999999</v>
      </c>
      <c r="AS50" s="57">
        <f t="shared" si="95"/>
        <v>34341422.109999999</v>
      </c>
      <c r="AT50" s="57">
        <f t="shared" si="96"/>
        <v>0</v>
      </c>
      <c r="AU50" s="157">
        <f t="shared" si="57"/>
        <v>60053023.829999998</v>
      </c>
      <c r="AV50" s="57">
        <f t="shared" si="97"/>
        <v>7522120.7600000007</v>
      </c>
      <c r="AW50" s="57">
        <f t="shared" si="98"/>
        <v>7030827.4000000004</v>
      </c>
      <c r="AX50" s="57">
        <f t="shared" si="99"/>
        <v>2099957.6799999992</v>
      </c>
      <c r="AY50" s="57">
        <f t="shared" si="100"/>
        <v>3078034.26</v>
      </c>
      <c r="AZ50" s="57">
        <f t="shared" si="101"/>
        <v>7273679.0699999975</v>
      </c>
      <c r="BA50" s="57">
        <f t="shared" si="102"/>
        <v>37770504.25</v>
      </c>
      <c r="BB50" s="57">
        <f t="shared" si="103"/>
        <v>0</v>
      </c>
      <c r="BC50" s="157">
        <f t="shared" si="58"/>
        <v>64775123.420000002</v>
      </c>
      <c r="BD50" s="57">
        <f t="shared" si="104"/>
        <v>8176683.2199999979</v>
      </c>
      <c r="BE50" s="57">
        <f t="shared" si="105"/>
        <v>7515498.7699999958</v>
      </c>
      <c r="BF50" s="57">
        <f t="shared" si="106"/>
        <v>2416390.8600000003</v>
      </c>
      <c r="BG50" s="57">
        <f t="shared" si="107"/>
        <v>3497479.9699999983</v>
      </c>
      <c r="BH50" s="57">
        <f t="shared" si="108"/>
        <v>8184791.1999999983</v>
      </c>
      <c r="BI50" s="57">
        <f t="shared" si="109"/>
        <v>39281097.589999996</v>
      </c>
      <c r="BJ50" s="57">
        <f t="shared" si="110"/>
        <v>0</v>
      </c>
      <c r="BK50" s="157">
        <f t="shared" si="64"/>
        <v>69071941.609999985</v>
      </c>
      <c r="BL50" s="57">
        <f t="shared" si="111"/>
        <v>8654405.549999997</v>
      </c>
      <c r="BM50" s="57">
        <f t="shared" si="112"/>
        <v>7994648.6299999971</v>
      </c>
      <c r="BN50" s="57">
        <f t="shared" si="113"/>
        <v>2920641.1899999995</v>
      </c>
      <c r="BO50" s="57">
        <f t="shared" si="114"/>
        <v>3930138.6000000006</v>
      </c>
      <c r="BP50" s="57">
        <f t="shared" si="115"/>
        <v>8423679.1499999929</v>
      </c>
      <c r="BQ50" s="57">
        <f t="shared" si="116"/>
        <v>41958895.68</v>
      </c>
      <c r="BR50" s="57">
        <f t="shared" si="117"/>
        <v>0</v>
      </c>
      <c r="BS50" s="157">
        <f t="shared" si="72"/>
        <v>73882408.799999982</v>
      </c>
      <c r="BT50" s="157">
        <f t="shared" si="73"/>
        <v>66945624.414999992</v>
      </c>
      <c r="BU50" s="157">
        <f t="shared" si="74"/>
        <v>71477175.204999983</v>
      </c>
      <c r="BV50" s="144"/>
      <c r="BW50" s="158">
        <f t="shared" si="75"/>
        <v>60053023.829999998</v>
      </c>
      <c r="BX50" s="159">
        <f t="shared" si="76"/>
        <v>64775123.420000002</v>
      </c>
      <c r="BY50" s="159">
        <f t="shared" si="77"/>
        <v>69071941.609999985</v>
      </c>
      <c r="BZ50" s="159">
        <f t="shared" si="78"/>
        <v>73882408.799999982</v>
      </c>
      <c r="CA50" s="158">
        <f t="shared" si="118"/>
        <v>66945624.414999992</v>
      </c>
      <c r="CB50" s="157">
        <f t="shared" si="119"/>
        <v>66923532.514999993</v>
      </c>
      <c r="CC50" s="144"/>
      <c r="CD50" s="158">
        <f t="shared" si="79"/>
        <v>68219508.429291651</v>
      </c>
      <c r="CE50" s="159">
        <f t="shared" si="80"/>
        <v>70722406.034220904</v>
      </c>
      <c r="CF50" s="159">
        <f t="shared" si="81"/>
        <v>73022366.25930655</v>
      </c>
      <c r="CG50" s="159">
        <f t="shared" si="126"/>
        <v>73882408.799999982</v>
      </c>
      <c r="CH50" s="158">
        <f t="shared" si="120"/>
        <v>71461672.380704761</v>
      </c>
      <c r="CI50" s="157">
        <f t="shared" si="121"/>
        <v>71872386.146763727</v>
      </c>
      <c r="CK50" s="61">
        <f t="shared" si="122"/>
        <v>3.6688883613452905E-2</v>
      </c>
      <c r="CL50" s="62">
        <f t="shared" si="123"/>
        <v>3.252095557909529E-2</v>
      </c>
      <c r="CM50" s="63">
        <f t="shared" si="124"/>
        <v>1.1777796102078852E-2</v>
      </c>
      <c r="CN50" s="61">
        <f t="shared" si="125"/>
        <v>8.3009984989525831E-2</v>
      </c>
      <c r="CO50" s="29"/>
      <c r="CP50" s="61">
        <f t="shared" si="82"/>
        <v>2.8738478351253316E-2</v>
      </c>
      <c r="CQ50" s="62">
        <f t="shared" si="83"/>
        <v>3.0452023470300349E-2</v>
      </c>
      <c r="CR50" s="63">
        <f t="shared" si="84"/>
        <v>3.0324235948643839E-2</v>
      </c>
      <c r="CS50" s="61">
        <f t="shared" si="85"/>
        <v>3.0526976355811902E-2</v>
      </c>
      <c r="CU50" s="60">
        <f t="shared" si="86"/>
        <v>100</v>
      </c>
      <c r="CV50" s="132">
        <f t="shared" si="87"/>
        <v>103.6688883613453</v>
      </c>
      <c r="CW50" s="132">
        <f t="shared" si="88"/>
        <v>107.04029967467881</v>
      </c>
      <c r="CX50" s="131">
        <f t="shared" si="89"/>
        <v>108.30099849895258</v>
      </c>
    </row>
    <row r="51" spans="1:102">
      <c r="A51" s="29">
        <v>155</v>
      </c>
      <c r="B51" s="29" t="s">
        <v>2</v>
      </c>
      <c r="C51" s="55" t="s">
        <v>80</v>
      </c>
      <c r="D51" s="56">
        <v>0</v>
      </c>
      <c r="E51" s="57">
        <f>VLOOKUP(A51,AuxOPEXSaneparOriginal!$B$4:$F$177,3,0)</f>
        <v>18114838.789999999</v>
      </c>
      <c r="F51" s="156">
        <f>VLOOKUP(A51,AuxOPEXSaneparOriginal!$B$4:$F$177,4,0)</f>
        <v>16288409.149999974</v>
      </c>
      <c r="G51" s="57">
        <f>VLOOKUP(A51,AuxOPEXSaneparOriginal!$B$4:$K$177,8,0)</f>
        <v>4194913.46</v>
      </c>
      <c r="H51" s="156">
        <f>VLOOKUP(A51,AuxOPEXSaneparOriginal!$B$4:$K$177,9,0)</f>
        <v>6709772.5000000019</v>
      </c>
      <c r="I51" s="57">
        <f>VLOOKUP(A51,AuxOPEXSaneparOriginal!$B$4:$N$177,13,0)</f>
        <v>14116098.359999994</v>
      </c>
      <c r="J51" s="57">
        <f>VLOOKUP(A51,AuxOPEXSaneparOriginal!$B$4:$Q$177,16,0)</f>
        <v>58423119.600000009</v>
      </c>
      <c r="K51" s="57">
        <f>VLOOKUP(A51,AuxOPEXSaneparOriginal!$B$4:$V$177,21,0)</f>
        <v>0</v>
      </c>
      <c r="L51" s="157">
        <f t="shared" si="50"/>
        <v>117847151.85999998</v>
      </c>
      <c r="M51" s="19">
        <f>VLOOKUP(A51,AuxOPEXSaneparOriginal!$B$4:$AB$177,27,0)</f>
        <v>11521946.029999997</v>
      </c>
      <c r="N51" s="156">
        <f>VLOOKUP(A51,AuxOPEXSaneparOriginal!$B$4:$AC$177,28,0)</f>
        <v>10138009.539999999</v>
      </c>
      <c r="O51" s="156">
        <f>VLOOKUP(A51,AuxOPEXSaneparOriginal!$B$4:$AD$177,29,0)</f>
        <v>2232058.98</v>
      </c>
      <c r="P51" s="156">
        <f>VLOOKUP(A51,AuxOPEXSaneparOriginal!$B$4:$AE$177,30,0)</f>
        <v>4372817.9600000009</v>
      </c>
      <c r="Q51" s="146">
        <f>VLOOKUP(A51,AuxOPEXSaneparOriginal!$B$4:$AF$177,31,0)</f>
        <v>8668428.6099999994</v>
      </c>
      <c r="R51" s="146">
        <f>VLOOKUP(A51,AuxOPEXSaneparOriginal!$B$4:$AG$177,32,0)</f>
        <v>37479451.670000002</v>
      </c>
      <c r="S51" s="146">
        <f>VLOOKUP(A51,AuxOPEXSaneparOriginal!$B$4:$AH$177,33,0)</f>
        <v>0</v>
      </c>
      <c r="T51" s="157">
        <f t="shared" si="51"/>
        <v>74412712.789999992</v>
      </c>
      <c r="U51" s="156">
        <f>VLOOKUP(A51,AuxOPEXSaneparOriginal!$B$4:$AI$177,34,0)</f>
        <v>11850094.860000001</v>
      </c>
      <c r="V51" s="156">
        <f>VLOOKUP(A51,AuxOPEXSaneparOriginal!$B$4:$AJ$177,35,0)</f>
        <v>10571775.630000003</v>
      </c>
      <c r="W51" s="156">
        <f>VLOOKUP(A51,AuxOPEXSaneparOriginal!$B$4:$AK$177,36,0)</f>
        <v>2930028.7300000009</v>
      </c>
      <c r="X51" s="19">
        <f>+VLOOKUP(A51,AuxOPEXSaneparOriginal!$B$4:$AL$177,37,0)</f>
        <v>3881461</v>
      </c>
      <c r="Y51" s="146">
        <f>VLOOKUP(A51,AuxOPEXSaneparOriginal!$B$4:$AM$177,38,0)</f>
        <v>9856792.6799999941</v>
      </c>
      <c r="Z51" s="146">
        <f>VLOOKUP(A51,AuxOPEXSaneparOriginal!$B$4:$AN$177,39,0)</f>
        <v>47741459.06000001</v>
      </c>
      <c r="AA51" s="146">
        <f>VLOOKUP(A51,AuxOPEXSaneparOriginal!$B$4:$AO$177,40,0)</f>
        <v>0</v>
      </c>
      <c r="AB51" s="157">
        <f t="shared" si="52"/>
        <v>86831611.960000008</v>
      </c>
      <c r="AC51" s="156">
        <f>VLOOKUP(A51,AuxOPEXSaneparOriginal!$B$4:$AP$177,41,0)</f>
        <v>26136722.409999978</v>
      </c>
      <c r="AD51" s="156">
        <f>+VLOOKUP(A51,AuxOPEXSaneparOriginal!$B$4:$AQ$177,42,0)</f>
        <v>22136275.57999998</v>
      </c>
      <c r="AE51" s="156">
        <f>VLOOKUP(A51,AuxOPEXSaneparOriginal!$B$4:$AR$177,43,0)</f>
        <v>7786369.6399999997</v>
      </c>
      <c r="AF51" s="156">
        <f>+VLOOKUP(A51,AuxOPEXSaneparOriginal!$B$4:$AS$177,44,0)</f>
        <v>10521744.24</v>
      </c>
      <c r="AG51" s="146">
        <f>VLOOKUP(A51,AuxOPEXSaneparOriginal!$B$4:$AT$177,45,0)</f>
        <v>26893536.840000056</v>
      </c>
      <c r="AH51" s="146">
        <f>VLOOKUP(A51,AuxOPEXSaneparOriginal!$B$4:$AU$177,46,0)</f>
        <v>109599936.05999999</v>
      </c>
      <c r="AI51" s="146">
        <f>VLOOKUP(A51,AuxOPEXSaneparOriginal!$B$4:$AV$177,47,0)</f>
        <v>0</v>
      </c>
      <c r="AJ51" s="157">
        <f t="shared" si="53"/>
        <v>203074584.76999998</v>
      </c>
      <c r="AK51" s="157">
        <f t="shared" si="54"/>
        <v>120541515.345</v>
      </c>
      <c r="AL51" s="157">
        <f t="shared" si="55"/>
        <v>144953098.36500001</v>
      </c>
      <c r="AM51" s="144"/>
      <c r="AN51" s="167">
        <f t="shared" si="90"/>
        <v>18114838.789999999</v>
      </c>
      <c r="AO51" s="168">
        <f t="shared" si="91"/>
        <v>16288409.149999974</v>
      </c>
      <c r="AP51" s="57">
        <f t="shared" si="92"/>
        <v>4194913.46</v>
      </c>
      <c r="AQ51" s="57">
        <f t="shared" si="93"/>
        <v>6709772.5000000019</v>
      </c>
      <c r="AR51" s="57">
        <f t="shared" si="94"/>
        <v>14116098.359999994</v>
      </c>
      <c r="AS51" s="57">
        <f t="shared" si="95"/>
        <v>58423119.600000009</v>
      </c>
      <c r="AT51" s="57">
        <f t="shared" si="96"/>
        <v>0</v>
      </c>
      <c r="AU51" s="157">
        <f t="shared" si="57"/>
        <v>117847151.85999998</v>
      </c>
      <c r="AV51" s="57">
        <f t="shared" si="97"/>
        <v>11521946.029999997</v>
      </c>
      <c r="AW51" s="57">
        <f t="shared" si="98"/>
        <v>10138009.539999999</v>
      </c>
      <c r="AX51" s="57">
        <f t="shared" si="99"/>
        <v>2232058.98</v>
      </c>
      <c r="AY51" s="57">
        <f t="shared" si="100"/>
        <v>4372817.9600000009</v>
      </c>
      <c r="AZ51" s="57">
        <f t="shared" si="101"/>
        <v>8668428.6099999994</v>
      </c>
      <c r="BA51" s="57">
        <f t="shared" si="102"/>
        <v>37479451.670000002</v>
      </c>
      <c r="BB51" s="57">
        <f t="shared" si="103"/>
        <v>0</v>
      </c>
      <c r="BC51" s="157">
        <f t="shared" si="58"/>
        <v>74412712.789999992</v>
      </c>
      <c r="BD51" s="57">
        <f t="shared" si="104"/>
        <v>11850094.860000001</v>
      </c>
      <c r="BE51" s="57">
        <f t="shared" si="105"/>
        <v>10571775.630000003</v>
      </c>
      <c r="BF51" s="57">
        <f t="shared" si="106"/>
        <v>2930028.7300000009</v>
      </c>
      <c r="BG51" s="57">
        <f t="shared" si="107"/>
        <v>3881461</v>
      </c>
      <c r="BH51" s="57">
        <f t="shared" si="108"/>
        <v>9856792.6799999941</v>
      </c>
      <c r="BI51" s="57">
        <f t="shared" si="109"/>
        <v>47741459.06000001</v>
      </c>
      <c r="BJ51" s="57">
        <f t="shared" si="110"/>
        <v>0</v>
      </c>
      <c r="BK51" s="157">
        <f t="shared" si="64"/>
        <v>86831611.960000008</v>
      </c>
      <c r="BL51" s="57">
        <f t="shared" si="111"/>
        <v>26136722.409999978</v>
      </c>
      <c r="BM51" s="57">
        <f t="shared" si="112"/>
        <v>22136275.57999998</v>
      </c>
      <c r="BN51" s="57">
        <f t="shared" si="113"/>
        <v>7786369.6399999997</v>
      </c>
      <c r="BO51" s="57">
        <f t="shared" si="114"/>
        <v>10521744.24</v>
      </c>
      <c r="BP51" s="57">
        <f t="shared" si="115"/>
        <v>26893536.840000056</v>
      </c>
      <c r="BQ51" s="57">
        <f t="shared" si="116"/>
        <v>109599936.05999999</v>
      </c>
      <c r="BR51" s="57">
        <f t="shared" si="117"/>
        <v>0</v>
      </c>
      <c r="BS51" s="157">
        <f t="shared" si="72"/>
        <v>203074584.76999998</v>
      </c>
      <c r="BT51" s="157">
        <f t="shared" si="73"/>
        <v>120541515.345</v>
      </c>
      <c r="BU51" s="157">
        <f t="shared" si="74"/>
        <v>144953098.36500001</v>
      </c>
      <c r="BV51" s="144"/>
      <c r="BW51" s="158">
        <f t="shared" si="75"/>
        <v>117847151.85999998</v>
      </c>
      <c r="BX51" s="159">
        <f t="shared" si="76"/>
        <v>74412712.789999992</v>
      </c>
      <c r="BY51" s="159">
        <f t="shared" si="77"/>
        <v>86831611.960000008</v>
      </c>
      <c r="BZ51" s="159">
        <f t="shared" si="78"/>
        <v>203074584.76999998</v>
      </c>
      <c r="CA51" s="158">
        <f t="shared" si="118"/>
        <v>120541515.345</v>
      </c>
      <c r="CB51" s="157">
        <f t="shared" si="119"/>
        <v>102339381.91</v>
      </c>
      <c r="CC51" s="144"/>
      <c r="CD51" s="158">
        <f t="shared" si="79"/>
        <v>133872938.56242247</v>
      </c>
      <c r="CE51" s="159">
        <f t="shared" si="80"/>
        <v>81244863.925914884</v>
      </c>
      <c r="CF51" s="159">
        <f t="shared" si="81"/>
        <v>91797763.65966709</v>
      </c>
      <c r="CG51" s="159">
        <f t="shared" si="126"/>
        <v>203074584.76999998</v>
      </c>
      <c r="CH51" s="158">
        <f t="shared" si="120"/>
        <v>127497537.7295011</v>
      </c>
      <c r="CI51" s="157">
        <f t="shared" si="121"/>
        <v>112835351.11104478</v>
      </c>
      <c r="CK51" s="61">
        <f t="shared" si="122"/>
        <v>-0.39311958937816316</v>
      </c>
      <c r="CL51" s="62">
        <f t="shared" si="123"/>
        <v>0.12989005364542328</v>
      </c>
      <c r="CM51" s="63">
        <f t="shared" si="124"/>
        <v>1.2121953375997574</v>
      </c>
      <c r="CN51" s="61">
        <f t="shared" si="125"/>
        <v>0.51692034962921252</v>
      </c>
      <c r="CO51" s="29"/>
      <c r="CP51" s="61">
        <f t="shared" si="82"/>
        <v>5.6395958213074908E-2</v>
      </c>
      <c r="CQ51" s="62">
        <f t="shared" si="83"/>
        <v>3.4982838422043701E-2</v>
      </c>
      <c r="CR51" s="63">
        <f t="shared" si="84"/>
        <v>3.8121156398691902E-2</v>
      </c>
      <c r="CS51" s="61">
        <f t="shared" si="85"/>
        <v>8.3907023991617743E-2</v>
      </c>
      <c r="CU51" s="60">
        <f t="shared" si="86"/>
        <v>100</v>
      </c>
      <c r="CV51" s="132">
        <f t="shared" si="87"/>
        <v>60.688041062183686</v>
      </c>
      <c r="CW51" s="132">
        <f t="shared" si="88"/>
        <v>68.570813971386386</v>
      </c>
      <c r="CX51" s="131">
        <f t="shared" si="89"/>
        <v>151.69203496292124</v>
      </c>
    </row>
    <row r="52" spans="1:102">
      <c r="A52" s="29">
        <v>156</v>
      </c>
      <c r="B52" s="29" t="s">
        <v>2</v>
      </c>
      <c r="C52" s="55" t="s">
        <v>81</v>
      </c>
      <c r="D52" s="56">
        <v>0</v>
      </c>
      <c r="E52" s="57">
        <f>VLOOKUP(A52,AuxOPEXSaneparOriginal!$B$4:$F$177,3,0)</f>
        <v>1369040.2899999993</v>
      </c>
      <c r="F52" s="156">
        <f>VLOOKUP(A52,AuxOPEXSaneparOriginal!$B$4:$F$177,4,0)</f>
        <v>1406364.1199999992</v>
      </c>
      <c r="G52" s="57">
        <f>VLOOKUP(A52,AuxOPEXSaneparOriginal!$B$4:$K$177,8,0)</f>
        <v>393837.23999999993</v>
      </c>
      <c r="H52" s="156">
        <f>VLOOKUP(A52,AuxOPEXSaneparOriginal!$B$4:$K$177,9,0)</f>
        <v>660939.54999999981</v>
      </c>
      <c r="I52" s="57">
        <f>VLOOKUP(A52,AuxOPEXSaneparOriginal!$B$4:$N$177,13,0)</f>
        <v>1675355.7399999991</v>
      </c>
      <c r="J52" s="57">
        <f>VLOOKUP(A52,AuxOPEXSaneparOriginal!$B$4:$Q$177,16,0)</f>
        <v>6460143.7100000009</v>
      </c>
      <c r="K52" s="57">
        <f>VLOOKUP(A52,AuxOPEXSaneparOriginal!$B$4:$V$177,21,0)</f>
        <v>0</v>
      </c>
      <c r="L52" s="157">
        <f t="shared" si="50"/>
        <v>11965680.649999999</v>
      </c>
      <c r="M52" s="19">
        <f>VLOOKUP(A52,AuxOPEXSaneparOriginal!$B$4:$AB$177,27,0)</f>
        <v>1382477.4899999991</v>
      </c>
      <c r="N52" s="156">
        <f>VLOOKUP(A52,AuxOPEXSaneparOriginal!$B$4:$AC$177,28,0)</f>
        <v>1373222.48</v>
      </c>
      <c r="O52" s="156">
        <f>VLOOKUP(A52,AuxOPEXSaneparOriginal!$B$4:$AD$177,29,0)</f>
        <v>445386.29999999987</v>
      </c>
      <c r="P52" s="156">
        <f>VLOOKUP(A52,AuxOPEXSaneparOriginal!$B$4:$AE$177,30,0)</f>
        <v>698377.86999999988</v>
      </c>
      <c r="Q52" s="146">
        <f>VLOOKUP(A52,AuxOPEXSaneparOriginal!$B$4:$AF$177,31,0)</f>
        <v>1927722.9799999997</v>
      </c>
      <c r="R52" s="146">
        <f>VLOOKUP(A52,AuxOPEXSaneparOriginal!$B$4:$AG$177,32,0)</f>
        <v>6508470.1099999994</v>
      </c>
      <c r="S52" s="146">
        <f>VLOOKUP(A52,AuxOPEXSaneparOriginal!$B$4:$AH$177,33,0)</f>
        <v>0</v>
      </c>
      <c r="T52" s="157">
        <f t="shared" si="51"/>
        <v>12335657.229999997</v>
      </c>
      <c r="U52" s="156">
        <f>VLOOKUP(A52,AuxOPEXSaneparOriginal!$B$4:$AI$177,34,0)</f>
        <v>1683437.4399999992</v>
      </c>
      <c r="V52" s="156">
        <f>VLOOKUP(A52,AuxOPEXSaneparOriginal!$B$4:$AJ$177,35,0)</f>
        <v>1587291.5000000009</v>
      </c>
      <c r="W52" s="156">
        <f>VLOOKUP(A52,AuxOPEXSaneparOriginal!$B$4:$AK$177,36,0)</f>
        <v>508962.65000000014</v>
      </c>
      <c r="X52" s="19">
        <f>+VLOOKUP(A52,AuxOPEXSaneparOriginal!$B$4:$AL$177,37,0)</f>
        <v>838869.39000000025</v>
      </c>
      <c r="Y52" s="146">
        <f>VLOOKUP(A52,AuxOPEXSaneparOriginal!$B$4:$AM$177,38,0)</f>
        <v>2183262.0400000005</v>
      </c>
      <c r="Z52" s="146">
        <f>VLOOKUP(A52,AuxOPEXSaneparOriginal!$B$4:$AN$177,39,0)</f>
        <v>5169681.9399999995</v>
      </c>
      <c r="AA52" s="146">
        <f>VLOOKUP(A52,AuxOPEXSaneparOriginal!$B$4:$AO$177,40,0)</f>
        <v>0</v>
      </c>
      <c r="AB52" s="157">
        <f t="shared" si="52"/>
        <v>11971504.960000001</v>
      </c>
      <c r="AC52" s="156">
        <f>VLOOKUP(A52,AuxOPEXSaneparOriginal!$B$4:$AP$177,41,0)</f>
        <v>1210259.18</v>
      </c>
      <c r="AD52" s="156">
        <f>+VLOOKUP(A52,AuxOPEXSaneparOriginal!$B$4:$AQ$177,42,0)</f>
        <v>1241682.29</v>
      </c>
      <c r="AE52" s="156">
        <f>VLOOKUP(A52,AuxOPEXSaneparOriginal!$B$4:$AR$177,43,0)</f>
        <v>383358.72000000009</v>
      </c>
      <c r="AF52" s="156">
        <f>+VLOOKUP(A52,AuxOPEXSaneparOriginal!$B$4:$AS$177,44,0)</f>
        <v>676794.67000000051</v>
      </c>
      <c r="AG52" s="146">
        <f>VLOOKUP(A52,AuxOPEXSaneparOriginal!$B$4:$AT$177,45,0)</f>
        <v>1739413.9700000016</v>
      </c>
      <c r="AH52" s="146">
        <f>VLOOKUP(A52,AuxOPEXSaneparOriginal!$B$4:$AU$177,46,0)</f>
        <v>3659552.7499999991</v>
      </c>
      <c r="AI52" s="146">
        <f>VLOOKUP(A52,AuxOPEXSaneparOriginal!$B$4:$AV$177,47,0)</f>
        <v>0</v>
      </c>
      <c r="AJ52" s="157">
        <f t="shared" si="53"/>
        <v>8911061.5800000019</v>
      </c>
      <c r="AK52" s="157">
        <f t="shared" si="54"/>
        <v>11295976.105</v>
      </c>
      <c r="AL52" s="157">
        <f t="shared" si="55"/>
        <v>10441283.270000001</v>
      </c>
      <c r="AM52" s="144"/>
      <c r="AN52" s="167">
        <f t="shared" si="90"/>
        <v>1369040.2899999993</v>
      </c>
      <c r="AO52" s="168">
        <f t="shared" si="91"/>
        <v>1406364.1199999992</v>
      </c>
      <c r="AP52" s="57">
        <f t="shared" si="92"/>
        <v>393837.23999999993</v>
      </c>
      <c r="AQ52" s="57">
        <f t="shared" si="93"/>
        <v>660939.54999999981</v>
      </c>
      <c r="AR52" s="57">
        <f t="shared" si="94"/>
        <v>1675355.7399999991</v>
      </c>
      <c r="AS52" s="57">
        <f t="shared" si="95"/>
        <v>6460143.7100000009</v>
      </c>
      <c r="AT52" s="57">
        <f t="shared" si="96"/>
        <v>0</v>
      </c>
      <c r="AU52" s="157">
        <f t="shared" si="57"/>
        <v>11965680.649999999</v>
      </c>
      <c r="AV52" s="57">
        <f t="shared" si="97"/>
        <v>1382477.4899999991</v>
      </c>
      <c r="AW52" s="57">
        <f t="shared" si="98"/>
        <v>1373222.48</v>
      </c>
      <c r="AX52" s="57">
        <f t="shared" si="99"/>
        <v>445386.29999999987</v>
      </c>
      <c r="AY52" s="57">
        <f t="shared" si="100"/>
        <v>698377.86999999988</v>
      </c>
      <c r="AZ52" s="57">
        <f t="shared" si="101"/>
        <v>1927722.9799999997</v>
      </c>
      <c r="BA52" s="57">
        <f t="shared" si="102"/>
        <v>6508470.1099999994</v>
      </c>
      <c r="BB52" s="57">
        <f t="shared" si="103"/>
        <v>0</v>
      </c>
      <c r="BC52" s="157">
        <f t="shared" si="58"/>
        <v>12335657.229999997</v>
      </c>
      <c r="BD52" s="57">
        <f t="shared" si="104"/>
        <v>1683437.4399999992</v>
      </c>
      <c r="BE52" s="57">
        <f t="shared" si="105"/>
        <v>1587291.5000000009</v>
      </c>
      <c r="BF52" s="57">
        <f t="shared" si="106"/>
        <v>508962.65000000014</v>
      </c>
      <c r="BG52" s="57">
        <f t="shared" si="107"/>
        <v>838869.39000000025</v>
      </c>
      <c r="BH52" s="57">
        <f t="shared" si="108"/>
        <v>2183262.0400000005</v>
      </c>
      <c r="BI52" s="57">
        <f t="shared" si="109"/>
        <v>5169681.9399999995</v>
      </c>
      <c r="BJ52" s="57">
        <f t="shared" si="110"/>
        <v>0</v>
      </c>
      <c r="BK52" s="157">
        <f t="shared" si="64"/>
        <v>11971504.960000001</v>
      </c>
      <c r="BL52" s="57">
        <f t="shared" si="111"/>
        <v>1210259.18</v>
      </c>
      <c r="BM52" s="57">
        <f t="shared" si="112"/>
        <v>1241682.29</v>
      </c>
      <c r="BN52" s="57">
        <f t="shared" si="113"/>
        <v>383358.72000000009</v>
      </c>
      <c r="BO52" s="57">
        <f t="shared" si="114"/>
        <v>676794.67000000051</v>
      </c>
      <c r="BP52" s="57">
        <f t="shared" si="115"/>
        <v>1739413.9700000016</v>
      </c>
      <c r="BQ52" s="57">
        <f t="shared" si="116"/>
        <v>3659552.7499999991</v>
      </c>
      <c r="BR52" s="57">
        <f t="shared" si="117"/>
        <v>0</v>
      </c>
      <c r="BS52" s="157">
        <f t="shared" si="72"/>
        <v>8911061.5800000019</v>
      </c>
      <c r="BT52" s="157">
        <f t="shared" si="73"/>
        <v>11295976.105</v>
      </c>
      <c r="BU52" s="157">
        <f t="shared" si="74"/>
        <v>10441283.270000001</v>
      </c>
      <c r="BV52" s="144"/>
      <c r="BW52" s="158">
        <f t="shared" si="75"/>
        <v>11965680.649999999</v>
      </c>
      <c r="BX52" s="159">
        <f t="shared" si="76"/>
        <v>12335657.229999997</v>
      </c>
      <c r="BY52" s="159">
        <f t="shared" si="77"/>
        <v>11971504.960000001</v>
      </c>
      <c r="BZ52" s="159">
        <f t="shared" si="78"/>
        <v>8911061.5800000019</v>
      </c>
      <c r="CA52" s="158">
        <f t="shared" si="118"/>
        <v>11295976.105</v>
      </c>
      <c r="CB52" s="157">
        <f t="shared" si="119"/>
        <v>11968592.805</v>
      </c>
      <c r="CC52" s="144"/>
      <c r="CD52" s="158">
        <f t="shared" si="79"/>
        <v>13592868.433664132</v>
      </c>
      <c r="CE52" s="159">
        <f t="shared" si="80"/>
        <v>13468246.963612385</v>
      </c>
      <c r="CF52" s="159">
        <f t="shared" si="81"/>
        <v>12656190.046026785</v>
      </c>
      <c r="CG52" s="159">
        <f t="shared" si="126"/>
        <v>8911061.5800000019</v>
      </c>
      <c r="CH52" s="158">
        <f t="shared" si="120"/>
        <v>12157091.755825825</v>
      </c>
      <c r="CI52" s="157">
        <f t="shared" si="121"/>
        <v>13062218.504819585</v>
      </c>
      <c r="CK52" s="61">
        <f t="shared" si="122"/>
        <v>-9.168150980046974E-3</v>
      </c>
      <c r="CL52" s="62">
        <f t="shared" si="123"/>
        <v>-6.0294180807610842E-2</v>
      </c>
      <c r="CM52" s="63">
        <f t="shared" si="124"/>
        <v>-0.2959127867396798</v>
      </c>
      <c r="CN52" s="61">
        <f t="shared" si="125"/>
        <v>-0.34443111669271775</v>
      </c>
      <c r="CO52" s="29"/>
      <c r="CP52" s="61">
        <f t="shared" si="82"/>
        <v>5.7261971568907033E-3</v>
      </c>
      <c r="CQ52" s="62">
        <f t="shared" si="83"/>
        <v>5.7992282168860447E-3</v>
      </c>
      <c r="CR52" s="63">
        <f t="shared" si="84"/>
        <v>5.2557772751945109E-3</v>
      </c>
      <c r="CS52" s="61">
        <f t="shared" si="85"/>
        <v>3.681901694545779E-3</v>
      </c>
      <c r="CU52" s="60">
        <f t="shared" si="86"/>
        <v>100</v>
      </c>
      <c r="CV52" s="132">
        <f t="shared" si="87"/>
        <v>99.08318490199531</v>
      </c>
      <c r="CW52" s="132">
        <f t="shared" si="88"/>
        <v>93.109045436520461</v>
      </c>
      <c r="CX52" s="131">
        <f t="shared" si="89"/>
        <v>65.556888330728228</v>
      </c>
    </row>
    <row r="53" spans="1:102">
      <c r="A53" s="29">
        <v>157</v>
      </c>
      <c r="B53" s="29" t="s">
        <v>2</v>
      </c>
      <c r="C53" s="55" t="s">
        <v>82</v>
      </c>
      <c r="D53" s="56">
        <v>0</v>
      </c>
      <c r="E53" s="57">
        <f>VLOOKUP(A53,AuxOPEXSaneparOriginal!$B$4:$F$177,3,0)</f>
        <v>14339784.509999981</v>
      </c>
      <c r="F53" s="156">
        <f>VLOOKUP(A53,AuxOPEXSaneparOriginal!$B$4:$F$177,4,0)</f>
        <v>13680901.599999987</v>
      </c>
      <c r="G53" s="57">
        <f>VLOOKUP(A53,AuxOPEXSaneparOriginal!$B$4:$K$177,8,0)</f>
        <v>3707251.4200000013</v>
      </c>
      <c r="H53" s="156">
        <f>VLOOKUP(A53,AuxOPEXSaneparOriginal!$B$4:$K$177,9,0)</f>
        <v>5764971.9100000001</v>
      </c>
      <c r="I53" s="57">
        <f>VLOOKUP(A53,AuxOPEXSaneparOriginal!$B$4:$N$177,13,0)</f>
        <v>16160293.899999978</v>
      </c>
      <c r="J53" s="57">
        <f>VLOOKUP(A53,AuxOPEXSaneparOriginal!$B$4:$Q$177,16,0)</f>
        <v>40450332.510000005</v>
      </c>
      <c r="K53" s="57">
        <f>VLOOKUP(A53,AuxOPEXSaneparOriginal!$B$4:$V$177,21,0)</f>
        <v>0</v>
      </c>
      <c r="L53" s="157">
        <f t="shared" si="50"/>
        <v>94103535.849999949</v>
      </c>
      <c r="M53" s="19">
        <f>VLOOKUP(A53,AuxOPEXSaneparOriginal!$B$4:$AB$177,27,0)</f>
        <v>14119621.909999991</v>
      </c>
      <c r="N53" s="156">
        <f>VLOOKUP(A53,AuxOPEXSaneparOriginal!$B$4:$AC$177,28,0)</f>
        <v>13259401.179999998</v>
      </c>
      <c r="O53" s="156">
        <f>VLOOKUP(A53,AuxOPEXSaneparOriginal!$B$4:$AD$177,29,0)</f>
        <v>3815763.0200000009</v>
      </c>
      <c r="P53" s="156">
        <f>VLOOKUP(A53,AuxOPEXSaneparOriginal!$B$4:$AE$177,30,0)</f>
        <v>5914682.5699999956</v>
      </c>
      <c r="Q53" s="146">
        <f>VLOOKUP(A53,AuxOPEXSaneparOriginal!$B$4:$AF$177,31,0)</f>
        <v>17135313.489999987</v>
      </c>
      <c r="R53" s="146">
        <f>VLOOKUP(A53,AuxOPEXSaneparOriginal!$B$4:$AG$177,32,0)</f>
        <v>38453840.539999992</v>
      </c>
      <c r="S53" s="146">
        <f>VLOOKUP(A53,AuxOPEXSaneparOriginal!$B$4:$AH$177,33,0)</f>
        <v>0</v>
      </c>
      <c r="T53" s="157">
        <f t="shared" si="51"/>
        <v>92698622.709999964</v>
      </c>
      <c r="U53" s="156">
        <f>VLOOKUP(A53,AuxOPEXSaneparOriginal!$B$4:$AI$177,34,0)</f>
        <v>14868924.960000016</v>
      </c>
      <c r="V53" s="156">
        <f>VLOOKUP(A53,AuxOPEXSaneparOriginal!$B$4:$AJ$177,35,0)</f>
        <v>13576124.830000008</v>
      </c>
      <c r="W53" s="156">
        <f>VLOOKUP(A53,AuxOPEXSaneparOriginal!$B$4:$AK$177,36,0)</f>
        <v>4263186.9300000006</v>
      </c>
      <c r="X53" s="19">
        <f>+VLOOKUP(A53,AuxOPEXSaneparOriginal!$B$4:$AL$177,37,0)</f>
        <v>6549644.25</v>
      </c>
      <c r="Y53" s="146">
        <f>VLOOKUP(A53,AuxOPEXSaneparOriginal!$B$4:$AM$177,38,0)</f>
        <v>18276153.530000009</v>
      </c>
      <c r="Z53" s="146">
        <f>VLOOKUP(A53,AuxOPEXSaneparOriginal!$B$4:$AN$177,39,0)</f>
        <v>38472570.069999993</v>
      </c>
      <c r="AA53" s="146">
        <f>VLOOKUP(A53,AuxOPEXSaneparOriginal!$B$4:$AO$177,40,0)</f>
        <v>0</v>
      </c>
      <c r="AB53" s="157">
        <f t="shared" si="52"/>
        <v>96006604.570000023</v>
      </c>
      <c r="AC53" s="156">
        <f>VLOOKUP(A53,AuxOPEXSaneparOriginal!$B$4:$AP$177,41,0)</f>
        <v>15244328.549999999</v>
      </c>
      <c r="AD53" s="156">
        <f>+VLOOKUP(A53,AuxOPEXSaneparOriginal!$B$4:$AQ$177,42,0)</f>
        <v>13962814.990000006</v>
      </c>
      <c r="AE53" s="156">
        <f>VLOOKUP(A53,AuxOPEXSaneparOriginal!$B$4:$AR$177,43,0)</f>
        <v>5149366.2600000063</v>
      </c>
      <c r="AF53" s="156">
        <f>+VLOOKUP(A53,AuxOPEXSaneparOriginal!$B$4:$AS$177,44,0)</f>
        <v>7163033.0800000075</v>
      </c>
      <c r="AG53" s="146">
        <f>VLOOKUP(A53,AuxOPEXSaneparOriginal!$B$4:$AT$177,45,0)</f>
        <v>17630877.550000016</v>
      </c>
      <c r="AH53" s="146">
        <f>VLOOKUP(A53,AuxOPEXSaneparOriginal!$B$4:$AU$177,46,0)</f>
        <v>37845765.359999999</v>
      </c>
      <c r="AI53" s="146">
        <f>VLOOKUP(A53,AuxOPEXSaneparOriginal!$B$4:$AV$177,47,0)</f>
        <v>0</v>
      </c>
      <c r="AJ53" s="157">
        <f t="shared" si="53"/>
        <v>96996185.790000036</v>
      </c>
      <c r="AK53" s="157">
        <f t="shared" si="54"/>
        <v>94951237.230000004</v>
      </c>
      <c r="AL53" s="157">
        <f t="shared" si="55"/>
        <v>96501395.180000037</v>
      </c>
      <c r="AM53" s="144"/>
      <c r="AN53" s="167">
        <f t="shared" si="90"/>
        <v>14339784.509999981</v>
      </c>
      <c r="AO53" s="168">
        <f t="shared" si="91"/>
        <v>13680901.599999987</v>
      </c>
      <c r="AP53" s="57">
        <f t="shared" si="92"/>
        <v>3707251.4200000013</v>
      </c>
      <c r="AQ53" s="57">
        <f t="shared" si="93"/>
        <v>5764971.9100000001</v>
      </c>
      <c r="AR53" s="57">
        <f t="shared" si="94"/>
        <v>16160293.899999978</v>
      </c>
      <c r="AS53" s="57">
        <f t="shared" si="95"/>
        <v>40450332.510000005</v>
      </c>
      <c r="AT53" s="57">
        <f t="shared" si="96"/>
        <v>0</v>
      </c>
      <c r="AU53" s="157">
        <f t="shared" si="57"/>
        <v>94103535.849999949</v>
      </c>
      <c r="AV53" s="57">
        <f t="shared" si="97"/>
        <v>14119621.909999991</v>
      </c>
      <c r="AW53" s="57">
        <f t="shared" si="98"/>
        <v>13259401.179999998</v>
      </c>
      <c r="AX53" s="57">
        <f t="shared" si="99"/>
        <v>3815763.0200000009</v>
      </c>
      <c r="AY53" s="57">
        <f t="shared" si="100"/>
        <v>5914682.5699999956</v>
      </c>
      <c r="AZ53" s="57">
        <f t="shared" si="101"/>
        <v>17135313.489999987</v>
      </c>
      <c r="BA53" s="57">
        <f t="shared" si="102"/>
        <v>38453840.539999992</v>
      </c>
      <c r="BB53" s="57">
        <f t="shared" si="103"/>
        <v>0</v>
      </c>
      <c r="BC53" s="157">
        <f t="shared" si="58"/>
        <v>92698622.709999964</v>
      </c>
      <c r="BD53" s="57">
        <f t="shared" si="104"/>
        <v>14868924.960000016</v>
      </c>
      <c r="BE53" s="57">
        <f t="shared" si="105"/>
        <v>13576124.830000008</v>
      </c>
      <c r="BF53" s="57">
        <f t="shared" si="106"/>
        <v>4263186.9300000006</v>
      </c>
      <c r="BG53" s="57">
        <f t="shared" si="107"/>
        <v>6549644.25</v>
      </c>
      <c r="BH53" s="57">
        <f t="shared" si="108"/>
        <v>18276153.530000009</v>
      </c>
      <c r="BI53" s="57">
        <f t="shared" si="109"/>
        <v>38472570.069999993</v>
      </c>
      <c r="BJ53" s="57">
        <f t="shared" si="110"/>
        <v>0</v>
      </c>
      <c r="BK53" s="157">
        <f t="shared" si="64"/>
        <v>96006604.570000023</v>
      </c>
      <c r="BL53" s="57">
        <f t="shared" si="111"/>
        <v>15244328.549999999</v>
      </c>
      <c r="BM53" s="57">
        <f t="shared" si="112"/>
        <v>13962814.990000006</v>
      </c>
      <c r="BN53" s="57">
        <f t="shared" si="113"/>
        <v>5149366.2600000063</v>
      </c>
      <c r="BO53" s="57">
        <f t="shared" si="114"/>
        <v>7163033.0800000075</v>
      </c>
      <c r="BP53" s="57">
        <f t="shared" si="115"/>
        <v>17630877.550000016</v>
      </c>
      <c r="BQ53" s="57">
        <f t="shared" si="116"/>
        <v>37845765.359999999</v>
      </c>
      <c r="BR53" s="57">
        <f t="shared" si="117"/>
        <v>0</v>
      </c>
      <c r="BS53" s="157">
        <f t="shared" si="72"/>
        <v>96996185.790000036</v>
      </c>
      <c r="BT53" s="157">
        <f t="shared" si="73"/>
        <v>94951237.230000004</v>
      </c>
      <c r="BU53" s="157">
        <f t="shared" si="74"/>
        <v>96501395.180000037</v>
      </c>
      <c r="BV53" s="144"/>
      <c r="BW53" s="158">
        <f t="shared" si="75"/>
        <v>94103535.849999949</v>
      </c>
      <c r="BX53" s="159">
        <f t="shared" si="76"/>
        <v>92698622.709999964</v>
      </c>
      <c r="BY53" s="159">
        <f t="shared" si="77"/>
        <v>96006604.570000023</v>
      </c>
      <c r="BZ53" s="159">
        <f t="shared" si="78"/>
        <v>96996185.790000036</v>
      </c>
      <c r="CA53" s="158">
        <f t="shared" si="118"/>
        <v>94951237.229999989</v>
      </c>
      <c r="CB53" s="157">
        <f t="shared" si="119"/>
        <v>95055070.209999979</v>
      </c>
      <c r="CC53" s="144"/>
      <c r="CD53" s="158">
        <f t="shared" si="79"/>
        <v>106900478.07281615</v>
      </c>
      <c r="CE53" s="159">
        <f t="shared" si="80"/>
        <v>101209681.86508271</v>
      </c>
      <c r="CF53" s="159">
        <f t="shared" si="81"/>
        <v>101497500.70451158</v>
      </c>
      <c r="CG53" s="159">
        <f t="shared" si="126"/>
        <v>96996185.790000036</v>
      </c>
      <c r="CH53" s="158">
        <f t="shared" si="120"/>
        <v>101650961.60810262</v>
      </c>
      <c r="CI53" s="157">
        <f t="shared" si="121"/>
        <v>101353591.28479715</v>
      </c>
      <c r="CK53" s="61">
        <f t="shared" si="122"/>
        <v>-5.3234525329784788E-2</v>
      </c>
      <c r="CL53" s="62">
        <f t="shared" si="123"/>
        <v>2.8437876112736848E-3</v>
      </c>
      <c r="CM53" s="63">
        <f t="shared" si="124"/>
        <v>-4.4349022224854262E-2</v>
      </c>
      <c r="CN53" s="61">
        <f t="shared" si="125"/>
        <v>-9.2649653784239616E-2</v>
      </c>
      <c r="CO53" s="29"/>
      <c r="CP53" s="61">
        <f t="shared" si="82"/>
        <v>4.5033409732327438E-2</v>
      </c>
      <c r="CQ53" s="62">
        <f t="shared" si="83"/>
        <v>4.3579394146825323E-2</v>
      </c>
      <c r="CR53" s="63">
        <f t="shared" si="84"/>
        <v>4.2149197803748109E-2</v>
      </c>
      <c r="CS53" s="61">
        <f t="shared" si="85"/>
        <v>4.0077202656327984E-2</v>
      </c>
      <c r="CU53" s="60">
        <f t="shared" si="86"/>
        <v>100</v>
      </c>
      <c r="CV53" s="132">
        <f t="shared" si="87"/>
        <v>94.676547467021521</v>
      </c>
      <c r="CW53" s="132">
        <f t="shared" si="88"/>
        <v>94.945787459786402</v>
      </c>
      <c r="CX53" s="131">
        <f t="shared" si="89"/>
        <v>90.735034621576034</v>
      </c>
    </row>
    <row r="54" spans="1:102">
      <c r="A54" s="29">
        <v>158</v>
      </c>
      <c r="B54" s="29" t="s">
        <v>2</v>
      </c>
      <c r="C54" s="55" t="s">
        <v>83</v>
      </c>
      <c r="D54" s="56">
        <v>0</v>
      </c>
      <c r="E54" s="57">
        <f>VLOOKUP(A54,AuxOPEXSaneparOriginal!$B$4:$F$177,3,0)</f>
        <v>240428.91000000006</v>
      </c>
      <c r="F54" s="156">
        <f>VLOOKUP(A54,AuxOPEXSaneparOriginal!$B$4:$F$177,4,0)</f>
        <v>145262.62000000002</v>
      </c>
      <c r="G54" s="57">
        <f>VLOOKUP(A54,AuxOPEXSaneparOriginal!$B$4:$K$177,8,0)</f>
        <v>49085.2</v>
      </c>
      <c r="H54" s="156">
        <f>VLOOKUP(A54,AuxOPEXSaneparOriginal!$B$4:$K$177,9,0)</f>
        <v>94176.039999999979</v>
      </c>
      <c r="I54" s="57">
        <f>VLOOKUP(A54,AuxOPEXSaneparOriginal!$B$4:$N$177,13,0)</f>
        <v>103329.15</v>
      </c>
      <c r="J54" s="57">
        <f>VLOOKUP(A54,AuxOPEXSaneparOriginal!$B$4:$Q$177,16,0)</f>
        <v>3502693.6100000008</v>
      </c>
      <c r="K54" s="57">
        <f>VLOOKUP(A54,AuxOPEXSaneparOriginal!$B$4:$V$177,21,0)</f>
        <v>0</v>
      </c>
      <c r="L54" s="157">
        <f t="shared" si="50"/>
        <v>4134975.5300000007</v>
      </c>
      <c r="M54" s="19">
        <f>VLOOKUP(A54,AuxOPEXSaneparOriginal!$B$4:$AB$177,27,0)</f>
        <v>308358.88000000012</v>
      </c>
      <c r="N54" s="156">
        <f>VLOOKUP(A54,AuxOPEXSaneparOriginal!$B$4:$AC$177,28,0)</f>
        <v>287466.06</v>
      </c>
      <c r="O54" s="156">
        <f>VLOOKUP(A54,AuxOPEXSaneparOriginal!$B$4:$AD$177,29,0)</f>
        <v>99487.849999999977</v>
      </c>
      <c r="P54" s="156">
        <f>VLOOKUP(A54,AuxOPEXSaneparOriginal!$B$4:$AE$177,30,0)</f>
        <v>153271.79999999996</v>
      </c>
      <c r="Q54" s="146">
        <f>VLOOKUP(A54,AuxOPEXSaneparOriginal!$B$4:$AF$177,31,0)</f>
        <v>216730.05</v>
      </c>
      <c r="R54" s="146">
        <f>VLOOKUP(A54,AuxOPEXSaneparOriginal!$B$4:$AG$177,32,0)</f>
        <v>4021202.74</v>
      </c>
      <c r="S54" s="146">
        <f>VLOOKUP(A54,AuxOPEXSaneparOriginal!$B$4:$AH$177,33,0)</f>
        <v>0</v>
      </c>
      <c r="T54" s="157">
        <f t="shared" si="51"/>
        <v>5086517.3800000008</v>
      </c>
      <c r="U54" s="156">
        <f>VLOOKUP(A54,AuxOPEXSaneparOriginal!$B$4:$AI$177,34,0)</f>
        <v>351735.77000000014</v>
      </c>
      <c r="V54" s="156">
        <f>VLOOKUP(A54,AuxOPEXSaneparOriginal!$B$4:$AJ$177,35,0)</f>
        <v>214306.53000000006</v>
      </c>
      <c r="W54" s="156">
        <f>VLOOKUP(A54,AuxOPEXSaneparOriginal!$B$4:$AK$177,36,0)</f>
        <v>81746.280000000013</v>
      </c>
      <c r="X54" s="19">
        <f>+VLOOKUP(A54,AuxOPEXSaneparOriginal!$B$4:$AL$177,37,0)</f>
        <v>143348.93</v>
      </c>
      <c r="Y54" s="146">
        <f>VLOOKUP(A54,AuxOPEXSaneparOriginal!$B$4:$AM$177,38,0)</f>
        <v>107560.98999999998</v>
      </c>
      <c r="Z54" s="146">
        <f>VLOOKUP(A54,AuxOPEXSaneparOriginal!$B$4:$AN$177,39,0)</f>
        <v>3509719.84</v>
      </c>
      <c r="AA54" s="146">
        <f>VLOOKUP(A54,AuxOPEXSaneparOriginal!$B$4:$AO$177,40,0)</f>
        <v>0</v>
      </c>
      <c r="AB54" s="157">
        <f t="shared" si="52"/>
        <v>4408418.34</v>
      </c>
      <c r="AC54" s="156">
        <f>VLOOKUP(A54,AuxOPEXSaneparOriginal!$B$4:$AP$177,41,0)</f>
        <v>12025.990000000002</v>
      </c>
      <c r="AD54" s="156">
        <f>+VLOOKUP(A54,AuxOPEXSaneparOriginal!$B$4:$AQ$177,42,0)</f>
        <v>56407.140000000014</v>
      </c>
      <c r="AE54" s="156">
        <f>VLOOKUP(A54,AuxOPEXSaneparOriginal!$B$4:$AR$177,43,0)</f>
        <v>45314.030000000006</v>
      </c>
      <c r="AF54" s="156">
        <f>+VLOOKUP(A54,AuxOPEXSaneparOriginal!$B$4:$AS$177,44,0)</f>
        <v>8433.0600000000013</v>
      </c>
      <c r="AG54" s="146">
        <f>VLOOKUP(A54,AuxOPEXSaneparOriginal!$B$4:$AT$177,45,0)</f>
        <v>94127.26</v>
      </c>
      <c r="AH54" s="146">
        <f>VLOOKUP(A54,AuxOPEXSaneparOriginal!$B$4:$AU$177,46,0)</f>
        <v>1144573.67</v>
      </c>
      <c r="AI54" s="146">
        <f>VLOOKUP(A54,AuxOPEXSaneparOriginal!$B$4:$AV$177,47,0)</f>
        <v>0</v>
      </c>
      <c r="AJ54" s="157">
        <f t="shared" si="53"/>
        <v>1360881.15</v>
      </c>
      <c r="AK54" s="157">
        <f t="shared" si="54"/>
        <v>3747698.1000000006</v>
      </c>
      <c r="AL54" s="157">
        <f t="shared" si="55"/>
        <v>2884649.7450000001</v>
      </c>
      <c r="AM54" s="144"/>
      <c r="AN54" s="167">
        <f t="shared" si="90"/>
        <v>240428.91000000006</v>
      </c>
      <c r="AO54" s="168">
        <f t="shared" si="91"/>
        <v>145262.62000000002</v>
      </c>
      <c r="AP54" s="57">
        <f t="shared" si="92"/>
        <v>49085.2</v>
      </c>
      <c r="AQ54" s="57">
        <f t="shared" si="93"/>
        <v>94176.039999999979</v>
      </c>
      <c r="AR54" s="57">
        <f t="shared" si="94"/>
        <v>103329.15</v>
      </c>
      <c r="AS54" s="57">
        <f t="shared" si="95"/>
        <v>3502693.6100000008</v>
      </c>
      <c r="AT54" s="57">
        <f t="shared" si="96"/>
        <v>0</v>
      </c>
      <c r="AU54" s="157">
        <f t="shared" si="57"/>
        <v>4134975.5300000007</v>
      </c>
      <c r="AV54" s="57">
        <f t="shared" si="97"/>
        <v>308358.88000000012</v>
      </c>
      <c r="AW54" s="57">
        <f t="shared" si="98"/>
        <v>287466.06</v>
      </c>
      <c r="AX54" s="57">
        <f t="shared" si="99"/>
        <v>99487.849999999977</v>
      </c>
      <c r="AY54" s="57">
        <f t="shared" si="100"/>
        <v>153271.79999999996</v>
      </c>
      <c r="AZ54" s="57">
        <f t="shared" si="101"/>
        <v>216730.05</v>
      </c>
      <c r="BA54" s="57">
        <f t="shared" si="102"/>
        <v>4021202.74</v>
      </c>
      <c r="BB54" s="57">
        <f t="shared" si="103"/>
        <v>0</v>
      </c>
      <c r="BC54" s="157">
        <f t="shared" si="58"/>
        <v>5086517.3800000008</v>
      </c>
      <c r="BD54" s="57">
        <f t="shared" si="104"/>
        <v>351735.77000000014</v>
      </c>
      <c r="BE54" s="57">
        <f t="shared" si="105"/>
        <v>214306.53000000006</v>
      </c>
      <c r="BF54" s="57">
        <f t="shared" si="106"/>
        <v>81746.280000000013</v>
      </c>
      <c r="BG54" s="57">
        <f t="shared" si="107"/>
        <v>143348.93</v>
      </c>
      <c r="BH54" s="57">
        <f t="shared" si="108"/>
        <v>107560.98999999998</v>
      </c>
      <c r="BI54" s="57">
        <f t="shared" si="109"/>
        <v>3509719.84</v>
      </c>
      <c r="BJ54" s="57">
        <f t="shared" si="110"/>
        <v>0</v>
      </c>
      <c r="BK54" s="157">
        <f t="shared" si="64"/>
        <v>4408418.34</v>
      </c>
      <c r="BL54" s="57">
        <f t="shared" si="111"/>
        <v>12025.990000000002</v>
      </c>
      <c r="BM54" s="57">
        <f t="shared" si="112"/>
        <v>56407.140000000014</v>
      </c>
      <c r="BN54" s="57">
        <f t="shared" si="113"/>
        <v>45314.030000000006</v>
      </c>
      <c r="BO54" s="57">
        <f t="shared" si="114"/>
        <v>8433.0600000000013</v>
      </c>
      <c r="BP54" s="57">
        <f t="shared" si="115"/>
        <v>94127.26</v>
      </c>
      <c r="BQ54" s="57">
        <f t="shared" si="116"/>
        <v>1144573.67</v>
      </c>
      <c r="BR54" s="57">
        <f t="shared" si="117"/>
        <v>0</v>
      </c>
      <c r="BS54" s="157">
        <f t="shared" si="72"/>
        <v>1360881.15</v>
      </c>
      <c r="BT54" s="157">
        <f t="shared" si="73"/>
        <v>3747698.1000000006</v>
      </c>
      <c r="BU54" s="157">
        <f t="shared" si="74"/>
        <v>2884649.7450000001</v>
      </c>
      <c r="BV54" s="144"/>
      <c r="BW54" s="158">
        <f t="shared" si="75"/>
        <v>4134975.5300000007</v>
      </c>
      <c r="BX54" s="159">
        <f t="shared" si="76"/>
        <v>5086517.3800000008</v>
      </c>
      <c r="BY54" s="159">
        <f t="shared" si="77"/>
        <v>4408418.34</v>
      </c>
      <c r="BZ54" s="159">
        <f t="shared" si="78"/>
        <v>1360881.15</v>
      </c>
      <c r="CA54" s="158">
        <f t="shared" si="118"/>
        <v>3747698.1000000006</v>
      </c>
      <c r="CB54" s="157">
        <f t="shared" si="119"/>
        <v>4271696.9350000005</v>
      </c>
      <c r="CC54" s="144"/>
      <c r="CD54" s="158">
        <f t="shared" si="79"/>
        <v>4697282.1688760873</v>
      </c>
      <c r="CE54" s="159">
        <f t="shared" si="80"/>
        <v>5553532.4126825351</v>
      </c>
      <c r="CF54" s="159">
        <f t="shared" si="81"/>
        <v>4660548.5692777857</v>
      </c>
      <c r="CG54" s="159">
        <f t="shared" si="126"/>
        <v>1360881.15</v>
      </c>
      <c r="CH54" s="158">
        <f t="shared" si="120"/>
        <v>4068061.0752091021</v>
      </c>
      <c r="CI54" s="157">
        <f t="shared" si="121"/>
        <v>4678915.3690769365</v>
      </c>
      <c r="CK54" s="61">
        <f t="shared" si="122"/>
        <v>0.18228631217428481</v>
      </c>
      <c r="CL54" s="62">
        <f t="shared" si="123"/>
        <v>-0.16079564807534985</v>
      </c>
      <c r="CM54" s="63">
        <f t="shared" si="124"/>
        <v>-0.70799979234828858</v>
      </c>
      <c r="CN54" s="61">
        <f t="shared" si="125"/>
        <v>-0.71028328700006194</v>
      </c>
      <c r="CO54" s="29"/>
      <c r="CP54" s="61">
        <f t="shared" si="82"/>
        <v>1.9787996868944214E-3</v>
      </c>
      <c r="CQ54" s="62">
        <f t="shared" si="83"/>
        <v>2.3912690313767169E-3</v>
      </c>
      <c r="CR54" s="63">
        <f t="shared" si="84"/>
        <v>1.9354011887677241E-3</v>
      </c>
      <c r="CS54" s="61">
        <f t="shared" si="85"/>
        <v>5.6229334375898304E-4</v>
      </c>
      <c r="CU54" s="60">
        <f t="shared" si="86"/>
        <v>100</v>
      </c>
      <c r="CV54" s="132">
        <f t="shared" si="87"/>
        <v>118.22863121742849</v>
      </c>
      <c r="CW54" s="132">
        <f t="shared" si="88"/>
        <v>99.217981839760526</v>
      </c>
      <c r="CX54" s="131">
        <f t="shared" si="89"/>
        <v>28.971671299993808</v>
      </c>
    </row>
    <row r="55" spans="1:102">
      <c r="A55" s="214">
        <v>159</v>
      </c>
      <c r="B55" s="214" t="s">
        <v>2</v>
      </c>
      <c r="C55" s="215" t="s">
        <v>84</v>
      </c>
      <c r="D55" s="216">
        <v>1</v>
      </c>
      <c r="E55" s="57">
        <f>VLOOKUP(A55,AuxOPEXSaneparOriginal!$B$4:$F$177,3,0)</f>
        <v>3977212.0599999977</v>
      </c>
      <c r="F55" s="156">
        <f>VLOOKUP(A55,AuxOPEXSaneparOriginal!$B$4:$F$177,4,0)</f>
        <v>3621484.0200000014</v>
      </c>
      <c r="G55" s="57">
        <f>VLOOKUP(A55,AuxOPEXSaneparOriginal!$B$4:$K$177,8,0)</f>
        <v>961215.67999999993</v>
      </c>
      <c r="H55" s="156">
        <f>VLOOKUP(A55,AuxOPEXSaneparOriginal!$B$4:$K$177,9,0)</f>
        <v>1614113.7500000005</v>
      </c>
      <c r="I55" s="57">
        <f>VLOOKUP(A55,AuxOPEXSaneparOriginal!$B$4:$N$177,13,0)</f>
        <v>2784188.2600000021</v>
      </c>
      <c r="J55" s="57">
        <f>VLOOKUP(A55,AuxOPEXSaneparOriginal!$B$4:$Q$177,16,0)</f>
        <v>17407364.800000001</v>
      </c>
      <c r="K55" s="57">
        <f>VLOOKUP(A55,AuxOPEXSaneparOriginal!$B$4:$V$177,21,0)</f>
        <v>0</v>
      </c>
      <c r="L55" s="157">
        <f t="shared" si="50"/>
        <v>30365578.57</v>
      </c>
      <c r="M55" s="19">
        <f>VLOOKUP(A55,AuxOPEXSaneparOriginal!$B$4:$AB$177,27,0)</f>
        <v>4027636.2600000021</v>
      </c>
      <c r="N55" s="156">
        <f>VLOOKUP(A55,AuxOPEXSaneparOriginal!$B$4:$AC$177,28,0)</f>
        <v>3695747.3200000045</v>
      </c>
      <c r="O55" s="156">
        <f>VLOOKUP(A55,AuxOPEXSaneparOriginal!$B$4:$AD$177,29,0)</f>
        <v>1022918.7399999999</v>
      </c>
      <c r="P55" s="156">
        <f>VLOOKUP(A55,AuxOPEXSaneparOriginal!$B$4:$AE$177,30,0)</f>
        <v>1761455.98</v>
      </c>
      <c r="Q55" s="146">
        <f>VLOOKUP(A55,AuxOPEXSaneparOriginal!$B$4:$AF$177,31,0)</f>
        <v>3032569.0999999973</v>
      </c>
      <c r="R55" s="146">
        <f>VLOOKUP(A55,AuxOPEXSaneparOriginal!$B$4:$AG$177,32,0)</f>
        <v>17930766.719999995</v>
      </c>
      <c r="S55" s="146">
        <f>VLOOKUP(A55,AuxOPEXSaneparOriginal!$B$4:$AH$177,33,0)</f>
        <v>0</v>
      </c>
      <c r="T55" s="157">
        <f t="shared" si="51"/>
        <v>31471094.119999997</v>
      </c>
      <c r="U55" s="156">
        <f>VLOOKUP(A55,AuxOPEXSaneparOriginal!$B$4:$AI$177,34,0)</f>
        <v>4324743.9199999981</v>
      </c>
      <c r="V55" s="156">
        <f>VLOOKUP(A55,AuxOPEXSaneparOriginal!$B$4:$AJ$177,35,0)</f>
        <v>3946887.5299999979</v>
      </c>
      <c r="W55" s="156">
        <f>VLOOKUP(A55,AuxOPEXSaneparOriginal!$B$4:$AK$177,36,0)</f>
        <v>1190280.8200000008</v>
      </c>
      <c r="X55" s="19">
        <f>+VLOOKUP(A55,AuxOPEXSaneparOriginal!$B$4:$AL$177,37,0)</f>
        <v>2044932.7600000002</v>
      </c>
      <c r="Y55" s="146">
        <f>VLOOKUP(A55,AuxOPEXSaneparOriginal!$B$4:$AM$177,38,0)</f>
        <v>3294166.4400000023</v>
      </c>
      <c r="Z55" s="146">
        <f>VLOOKUP(A55,AuxOPEXSaneparOriginal!$B$4:$AN$177,39,0)</f>
        <v>18646081.969999999</v>
      </c>
      <c r="AA55" s="146">
        <f>VLOOKUP(A55,AuxOPEXSaneparOriginal!$B$4:$AO$177,40,0)</f>
        <v>0</v>
      </c>
      <c r="AB55" s="157">
        <f t="shared" si="52"/>
        <v>33447093.439999998</v>
      </c>
      <c r="AC55" s="156">
        <f>VLOOKUP(A55,AuxOPEXSaneparOriginal!$B$4:$AP$177,41,0)</f>
        <v>4265798.5900000017</v>
      </c>
      <c r="AD55" s="156">
        <f>+VLOOKUP(A55,AuxOPEXSaneparOriginal!$B$4:$AQ$177,42,0)</f>
        <v>3909418.25</v>
      </c>
      <c r="AE55" s="156">
        <f>VLOOKUP(A55,AuxOPEXSaneparOriginal!$B$4:$AR$177,43,0)</f>
        <v>1355256.68</v>
      </c>
      <c r="AF55" s="156">
        <f>+VLOOKUP(A55,AuxOPEXSaneparOriginal!$B$4:$AS$177,44,0)</f>
        <v>2213090.540000001</v>
      </c>
      <c r="AG55" s="146">
        <f>VLOOKUP(A55,AuxOPEXSaneparOriginal!$B$4:$AT$177,45,0)</f>
        <v>3552771.8</v>
      </c>
      <c r="AH55" s="146">
        <f>VLOOKUP(A55,AuxOPEXSaneparOriginal!$B$4:$AU$177,46,0)</f>
        <v>18933476.460000001</v>
      </c>
      <c r="AI55" s="146">
        <f>VLOOKUP(A55,AuxOPEXSaneparOriginal!$B$4:$AV$177,47,0)</f>
        <v>0</v>
      </c>
      <c r="AJ55" s="157">
        <f t="shared" si="53"/>
        <v>34229812.320000008</v>
      </c>
      <c r="AK55" s="157">
        <f t="shared" si="54"/>
        <v>32378394.612499997</v>
      </c>
      <c r="AL55" s="157">
        <f t="shared" si="55"/>
        <v>33838452.880000003</v>
      </c>
      <c r="AM55" s="144"/>
      <c r="AN55" s="167">
        <f t="shared" si="90"/>
        <v>0</v>
      </c>
      <c r="AO55" s="168">
        <f t="shared" si="91"/>
        <v>0</v>
      </c>
      <c r="AP55" s="57">
        <f t="shared" si="92"/>
        <v>0</v>
      </c>
      <c r="AQ55" s="57">
        <f t="shared" si="93"/>
        <v>0</v>
      </c>
      <c r="AR55" s="57">
        <f t="shared" si="94"/>
        <v>0</v>
      </c>
      <c r="AS55" s="57">
        <f t="shared" si="95"/>
        <v>0</v>
      </c>
      <c r="AT55" s="57">
        <f t="shared" si="96"/>
        <v>0</v>
      </c>
      <c r="AU55" s="157">
        <f t="shared" si="57"/>
        <v>0</v>
      </c>
      <c r="AV55" s="57">
        <f t="shared" si="97"/>
        <v>0</v>
      </c>
      <c r="AW55" s="57">
        <f t="shared" si="98"/>
        <v>0</v>
      </c>
      <c r="AX55" s="57">
        <f t="shared" si="99"/>
        <v>0</v>
      </c>
      <c r="AY55" s="57">
        <f t="shared" si="100"/>
        <v>0</v>
      </c>
      <c r="AZ55" s="57">
        <f t="shared" si="101"/>
        <v>0</v>
      </c>
      <c r="BA55" s="57">
        <f t="shared" si="102"/>
        <v>0</v>
      </c>
      <c r="BB55" s="57">
        <f t="shared" si="103"/>
        <v>0</v>
      </c>
      <c r="BC55" s="157">
        <f t="shared" si="58"/>
        <v>0</v>
      </c>
      <c r="BD55" s="57">
        <f t="shared" si="104"/>
        <v>0</v>
      </c>
      <c r="BE55" s="57">
        <f t="shared" si="105"/>
        <v>0</v>
      </c>
      <c r="BF55" s="57">
        <f t="shared" si="106"/>
        <v>0</v>
      </c>
      <c r="BG55" s="57">
        <f t="shared" si="107"/>
        <v>0</v>
      </c>
      <c r="BH55" s="57">
        <f t="shared" si="108"/>
        <v>0</v>
      </c>
      <c r="BI55" s="57">
        <f t="shared" si="109"/>
        <v>0</v>
      </c>
      <c r="BJ55" s="57">
        <f t="shared" si="110"/>
        <v>0</v>
      </c>
      <c r="BK55" s="157">
        <f t="shared" si="64"/>
        <v>0</v>
      </c>
      <c r="BL55" s="57">
        <f t="shared" si="111"/>
        <v>0</v>
      </c>
      <c r="BM55" s="57">
        <f t="shared" si="112"/>
        <v>0</v>
      </c>
      <c r="BN55" s="57">
        <f t="shared" si="113"/>
        <v>0</v>
      </c>
      <c r="BO55" s="57">
        <f t="shared" si="114"/>
        <v>0</v>
      </c>
      <c r="BP55" s="57">
        <f t="shared" si="115"/>
        <v>0</v>
      </c>
      <c r="BQ55" s="57">
        <f t="shared" si="116"/>
        <v>0</v>
      </c>
      <c r="BR55" s="57">
        <f t="shared" si="117"/>
        <v>0</v>
      </c>
      <c r="BS55" s="157">
        <f t="shared" si="72"/>
        <v>0</v>
      </c>
      <c r="BT55" s="157">
        <f t="shared" si="73"/>
        <v>0</v>
      </c>
      <c r="BU55" s="157">
        <f t="shared" si="74"/>
        <v>0</v>
      </c>
      <c r="BV55" s="144"/>
      <c r="BW55" s="158">
        <f t="shared" si="75"/>
        <v>0</v>
      </c>
      <c r="BX55" s="159">
        <f t="shared" si="76"/>
        <v>0</v>
      </c>
      <c r="BY55" s="159">
        <f t="shared" si="77"/>
        <v>0</v>
      </c>
      <c r="BZ55" s="159">
        <f t="shared" si="78"/>
        <v>0</v>
      </c>
      <c r="CA55" s="158">
        <f t="shared" si="118"/>
        <v>0</v>
      </c>
      <c r="CB55" s="157">
        <f t="shared" si="119"/>
        <v>0</v>
      </c>
      <c r="CC55" s="144"/>
      <c r="CD55" s="158">
        <f t="shared" si="79"/>
        <v>0</v>
      </c>
      <c r="CE55" s="159">
        <f t="shared" si="80"/>
        <v>0</v>
      </c>
      <c r="CF55" s="159">
        <f t="shared" si="81"/>
        <v>0</v>
      </c>
      <c r="CG55" s="159">
        <f t="shared" si="126"/>
        <v>0</v>
      </c>
      <c r="CH55" s="158">
        <f t="shared" si="120"/>
        <v>0</v>
      </c>
      <c r="CI55" s="157">
        <f t="shared" si="121"/>
        <v>0</v>
      </c>
      <c r="CK55" s="61">
        <f t="shared" si="122"/>
        <v>0</v>
      </c>
      <c r="CL55" s="62">
        <f t="shared" si="123"/>
        <v>0</v>
      </c>
      <c r="CM55" s="63">
        <f t="shared" si="124"/>
        <v>0</v>
      </c>
      <c r="CN55" s="61">
        <f t="shared" si="125"/>
        <v>0</v>
      </c>
      <c r="CO55" s="29"/>
      <c r="CP55" s="61">
        <f t="shared" si="82"/>
        <v>0</v>
      </c>
      <c r="CQ55" s="62">
        <f t="shared" si="83"/>
        <v>0</v>
      </c>
      <c r="CR55" s="63">
        <f t="shared" si="84"/>
        <v>0</v>
      </c>
      <c r="CS55" s="61">
        <f t="shared" si="85"/>
        <v>0</v>
      </c>
      <c r="CU55" s="60">
        <f t="shared" si="86"/>
        <v>0</v>
      </c>
      <c r="CV55" s="132">
        <f t="shared" si="87"/>
        <v>0</v>
      </c>
      <c r="CW55" s="132">
        <f t="shared" si="88"/>
        <v>0</v>
      </c>
      <c r="CX55" s="131">
        <f t="shared" si="89"/>
        <v>0</v>
      </c>
    </row>
    <row r="56" spans="1:102">
      <c r="A56" s="29">
        <v>160</v>
      </c>
      <c r="B56" s="29" t="s">
        <v>2</v>
      </c>
      <c r="C56" s="55" t="s">
        <v>85</v>
      </c>
      <c r="D56" s="56">
        <v>0</v>
      </c>
      <c r="E56" s="57">
        <f>VLOOKUP(A56,AuxOPEXSaneparOriginal!$B$4:$F$177,3,0)</f>
        <v>112670.93999999999</v>
      </c>
      <c r="F56" s="156">
        <f>VLOOKUP(A56,AuxOPEXSaneparOriginal!$B$4:$F$177,4,0)</f>
        <v>179470.71999999997</v>
      </c>
      <c r="G56" s="57">
        <f>VLOOKUP(A56,AuxOPEXSaneparOriginal!$B$4:$K$177,8,0)</f>
        <v>56289.51</v>
      </c>
      <c r="H56" s="156">
        <f>VLOOKUP(A56,AuxOPEXSaneparOriginal!$B$4:$K$177,9,0)</f>
        <v>60956.92</v>
      </c>
      <c r="I56" s="57">
        <f>VLOOKUP(A56,AuxOPEXSaneparOriginal!$B$4:$N$177,13,0)</f>
        <v>280603.12999999995</v>
      </c>
      <c r="J56" s="57">
        <f>VLOOKUP(A56,AuxOPEXSaneparOriginal!$B$4:$Q$177,16,0)</f>
        <v>792237.52999999991</v>
      </c>
      <c r="K56" s="57">
        <f>VLOOKUP(A56,AuxOPEXSaneparOriginal!$B$4:$V$177,21,0)</f>
        <v>0</v>
      </c>
      <c r="L56" s="157">
        <f t="shared" si="50"/>
        <v>1482228.75</v>
      </c>
      <c r="M56" s="19">
        <f>VLOOKUP(A56,AuxOPEXSaneparOriginal!$B$4:$AB$177,27,0)</f>
        <v>105972.72000000002</v>
      </c>
      <c r="N56" s="156">
        <f>VLOOKUP(A56,AuxOPEXSaneparOriginal!$B$4:$AC$177,28,0)</f>
        <v>139281.17000000001</v>
      </c>
      <c r="O56" s="156">
        <f>VLOOKUP(A56,AuxOPEXSaneparOriginal!$B$4:$AD$177,29,0)</f>
        <v>43423.08</v>
      </c>
      <c r="P56" s="156">
        <f>VLOOKUP(A56,AuxOPEXSaneparOriginal!$B$4:$AE$177,30,0)</f>
        <v>49068.780000000006</v>
      </c>
      <c r="Q56" s="146">
        <f>VLOOKUP(A56,AuxOPEXSaneparOriginal!$B$4:$AF$177,31,0)</f>
        <v>301175.99000000005</v>
      </c>
      <c r="R56" s="146">
        <f>VLOOKUP(A56,AuxOPEXSaneparOriginal!$B$4:$AG$177,32,0)</f>
        <v>623710.5199999999</v>
      </c>
      <c r="S56" s="146">
        <f>VLOOKUP(A56,AuxOPEXSaneparOriginal!$B$4:$AH$177,33,0)</f>
        <v>0</v>
      </c>
      <c r="T56" s="157">
        <f t="shared" si="51"/>
        <v>1262632.26</v>
      </c>
      <c r="U56" s="156">
        <f>VLOOKUP(A56,AuxOPEXSaneparOriginal!$B$4:$AI$177,34,0)</f>
        <v>108102.62000000001</v>
      </c>
      <c r="V56" s="156">
        <f>VLOOKUP(A56,AuxOPEXSaneparOriginal!$B$4:$AJ$177,35,0)</f>
        <v>186983.69</v>
      </c>
      <c r="W56" s="156">
        <f>VLOOKUP(A56,AuxOPEXSaneparOriginal!$B$4:$AK$177,36,0)</f>
        <v>58199.219999999987</v>
      </c>
      <c r="X56" s="19">
        <f>+VLOOKUP(A56,AuxOPEXSaneparOriginal!$B$4:$AL$177,37,0)</f>
        <v>65309.95</v>
      </c>
      <c r="Y56" s="146">
        <f>VLOOKUP(A56,AuxOPEXSaneparOriginal!$B$4:$AM$177,38,0)</f>
        <v>463960.21000000008</v>
      </c>
      <c r="Z56" s="146">
        <f>VLOOKUP(A56,AuxOPEXSaneparOriginal!$B$4:$AN$177,39,0)</f>
        <v>751643.26</v>
      </c>
      <c r="AA56" s="146">
        <f>VLOOKUP(A56,AuxOPEXSaneparOriginal!$B$4:$AO$177,40,0)</f>
        <v>0</v>
      </c>
      <c r="AB56" s="157">
        <f t="shared" si="52"/>
        <v>1634198.9500000002</v>
      </c>
      <c r="AC56" s="156">
        <f>VLOOKUP(A56,AuxOPEXSaneparOriginal!$B$4:$AP$177,41,0)</f>
        <v>84107.05</v>
      </c>
      <c r="AD56" s="156">
        <f>+VLOOKUP(A56,AuxOPEXSaneparOriginal!$B$4:$AQ$177,42,0)</f>
        <v>134546.01</v>
      </c>
      <c r="AE56" s="156">
        <f>VLOOKUP(A56,AuxOPEXSaneparOriginal!$B$4:$AR$177,43,0)</f>
        <v>70753.61</v>
      </c>
      <c r="AF56" s="156">
        <f>+VLOOKUP(A56,AuxOPEXSaneparOriginal!$B$4:$AS$177,44,0)</f>
        <v>48348.44</v>
      </c>
      <c r="AG56" s="146">
        <f>VLOOKUP(A56,AuxOPEXSaneparOriginal!$B$4:$AT$177,45,0)</f>
        <v>355100.64000000031</v>
      </c>
      <c r="AH56" s="146">
        <f>VLOOKUP(A56,AuxOPEXSaneparOriginal!$B$4:$AU$177,46,0)</f>
        <v>376173.70999999996</v>
      </c>
      <c r="AI56" s="146">
        <f>VLOOKUP(A56,AuxOPEXSaneparOriginal!$B$4:$AV$177,47,0)</f>
        <v>0</v>
      </c>
      <c r="AJ56" s="157">
        <f t="shared" si="53"/>
        <v>1069029.4600000002</v>
      </c>
      <c r="AK56" s="157">
        <f t="shared" si="54"/>
        <v>1362022.355</v>
      </c>
      <c r="AL56" s="157">
        <f t="shared" si="55"/>
        <v>1351614.2050000001</v>
      </c>
      <c r="AM56" s="144"/>
      <c r="AN56" s="167">
        <f t="shared" si="90"/>
        <v>112670.93999999999</v>
      </c>
      <c r="AO56" s="168">
        <f t="shared" si="91"/>
        <v>179470.71999999997</v>
      </c>
      <c r="AP56" s="57">
        <f t="shared" si="92"/>
        <v>56289.51</v>
      </c>
      <c r="AQ56" s="57">
        <f t="shared" si="93"/>
        <v>60956.92</v>
      </c>
      <c r="AR56" s="57">
        <f t="shared" si="94"/>
        <v>280603.12999999995</v>
      </c>
      <c r="AS56" s="57">
        <f t="shared" si="95"/>
        <v>792237.52999999991</v>
      </c>
      <c r="AT56" s="57">
        <f t="shared" si="96"/>
        <v>0</v>
      </c>
      <c r="AU56" s="157">
        <f t="shared" si="57"/>
        <v>1482228.75</v>
      </c>
      <c r="AV56" s="57">
        <f t="shared" si="97"/>
        <v>105972.72000000002</v>
      </c>
      <c r="AW56" s="57">
        <f t="shared" si="98"/>
        <v>139281.17000000001</v>
      </c>
      <c r="AX56" s="57">
        <f t="shared" si="99"/>
        <v>43423.08</v>
      </c>
      <c r="AY56" s="57">
        <f t="shared" si="100"/>
        <v>49068.780000000006</v>
      </c>
      <c r="AZ56" s="57">
        <f t="shared" si="101"/>
        <v>301175.99000000005</v>
      </c>
      <c r="BA56" s="57">
        <f t="shared" si="102"/>
        <v>623710.5199999999</v>
      </c>
      <c r="BB56" s="57">
        <f t="shared" si="103"/>
        <v>0</v>
      </c>
      <c r="BC56" s="157">
        <f t="shared" si="58"/>
        <v>1262632.26</v>
      </c>
      <c r="BD56" s="57">
        <f t="shared" si="104"/>
        <v>108102.62000000001</v>
      </c>
      <c r="BE56" s="57">
        <f t="shared" si="105"/>
        <v>186983.69</v>
      </c>
      <c r="BF56" s="57">
        <f t="shared" si="106"/>
        <v>58199.219999999987</v>
      </c>
      <c r="BG56" s="57">
        <f t="shared" si="107"/>
        <v>65309.95</v>
      </c>
      <c r="BH56" s="57">
        <f t="shared" si="108"/>
        <v>463960.21000000008</v>
      </c>
      <c r="BI56" s="57">
        <f t="shared" si="109"/>
        <v>751643.26</v>
      </c>
      <c r="BJ56" s="57">
        <f t="shared" si="110"/>
        <v>0</v>
      </c>
      <c r="BK56" s="157">
        <f t="shared" si="64"/>
        <v>1634198.9500000002</v>
      </c>
      <c r="BL56" s="57">
        <f t="shared" si="111"/>
        <v>84107.05</v>
      </c>
      <c r="BM56" s="57">
        <f t="shared" si="112"/>
        <v>134546.01</v>
      </c>
      <c r="BN56" s="57">
        <f t="shared" si="113"/>
        <v>70753.61</v>
      </c>
      <c r="BO56" s="57">
        <f t="shared" si="114"/>
        <v>48348.44</v>
      </c>
      <c r="BP56" s="57">
        <f t="shared" si="115"/>
        <v>355100.64000000031</v>
      </c>
      <c r="BQ56" s="57">
        <f t="shared" si="116"/>
        <v>376173.70999999996</v>
      </c>
      <c r="BR56" s="57">
        <f t="shared" si="117"/>
        <v>0</v>
      </c>
      <c r="BS56" s="157">
        <f t="shared" si="72"/>
        <v>1069029.4600000002</v>
      </c>
      <c r="BT56" s="157">
        <f t="shared" si="73"/>
        <v>1362022.355</v>
      </c>
      <c r="BU56" s="157">
        <f t="shared" si="74"/>
        <v>1351614.2050000001</v>
      </c>
      <c r="BV56" s="144"/>
      <c r="BW56" s="158">
        <f t="shared" si="75"/>
        <v>1482228.75</v>
      </c>
      <c r="BX56" s="159">
        <f t="shared" si="76"/>
        <v>1262632.26</v>
      </c>
      <c r="BY56" s="159">
        <f t="shared" si="77"/>
        <v>1634198.9500000002</v>
      </c>
      <c r="BZ56" s="159">
        <f t="shared" si="78"/>
        <v>1069029.4600000002</v>
      </c>
      <c r="CA56" s="158">
        <f t="shared" si="118"/>
        <v>1362022.355</v>
      </c>
      <c r="CB56" s="157">
        <f t="shared" si="119"/>
        <v>1372430.5049999999</v>
      </c>
      <c r="CC56" s="144"/>
      <c r="CD56" s="158">
        <f t="shared" si="79"/>
        <v>1683793.9250321249</v>
      </c>
      <c r="CE56" s="159">
        <f t="shared" si="80"/>
        <v>1378559.9571093181</v>
      </c>
      <c r="CF56" s="159">
        <f t="shared" si="81"/>
        <v>1727663.5271274552</v>
      </c>
      <c r="CG56" s="159">
        <f t="shared" si="126"/>
        <v>1069029.4600000002</v>
      </c>
      <c r="CH56" s="158">
        <f t="shared" si="120"/>
        <v>1464761.7173172245</v>
      </c>
      <c r="CI56" s="157">
        <f t="shared" si="121"/>
        <v>1531176.9410707215</v>
      </c>
      <c r="CK56" s="61">
        <f t="shared" si="122"/>
        <v>-0.18127750871709747</v>
      </c>
      <c r="CL56" s="62">
        <f t="shared" si="123"/>
        <v>0.25323785753226669</v>
      </c>
      <c r="CM56" s="63">
        <f t="shared" si="124"/>
        <v>-0.38122820606310426</v>
      </c>
      <c r="CN56" s="61">
        <f t="shared" si="125"/>
        <v>-0.3651067128184321</v>
      </c>
      <c r="CO56" s="29"/>
      <c r="CP56" s="61">
        <f t="shared" si="82"/>
        <v>7.0932313024012238E-4</v>
      </c>
      <c r="CQ56" s="62">
        <f t="shared" si="83"/>
        <v>5.9358755623777982E-4</v>
      </c>
      <c r="CR56" s="63">
        <f t="shared" si="84"/>
        <v>7.1745246176272987E-4</v>
      </c>
      <c r="CS56" s="61">
        <f t="shared" si="85"/>
        <v>4.4170510381473077E-4</v>
      </c>
      <c r="CU56" s="60">
        <f t="shared" si="86"/>
        <v>100</v>
      </c>
      <c r="CV56" s="132">
        <f t="shared" si="87"/>
        <v>81.87224912829025</v>
      </c>
      <c r="CW56" s="132">
        <f t="shared" si="88"/>
        <v>102.60540208888646</v>
      </c>
      <c r="CX56" s="131">
        <f t="shared" si="89"/>
        <v>63.489328718156791</v>
      </c>
    </row>
    <row r="57" spans="1:102">
      <c r="A57" s="214" t="s">
        <v>86</v>
      </c>
      <c r="B57" s="214" t="s">
        <v>2</v>
      </c>
      <c r="C57" s="215" t="s">
        <v>87</v>
      </c>
      <c r="D57" s="216">
        <v>1</v>
      </c>
      <c r="E57" s="57">
        <f>VLOOKUP(A57,AuxOPEXSaneparOriginal!$B$4:$F$177,3,0)</f>
        <v>0</v>
      </c>
      <c r="F57" s="156">
        <f>VLOOKUP(A57,AuxOPEXSaneparOriginal!$B$4:$F$177,4,0)</f>
        <v>0</v>
      </c>
      <c r="G57" s="57">
        <f>VLOOKUP(A57,AuxOPEXSaneparOriginal!$B$4:$K$177,8,0)</f>
        <v>0</v>
      </c>
      <c r="H57" s="156">
        <f>VLOOKUP(A57,AuxOPEXSaneparOriginal!$B$4:$K$177,9,0)</f>
        <v>0</v>
      </c>
      <c r="I57" s="57">
        <f>VLOOKUP(A57,AuxOPEXSaneparOriginal!$B$4:$N$177,13,0)</f>
        <v>0</v>
      </c>
      <c r="J57" s="57">
        <f>VLOOKUP(A57,AuxOPEXSaneparOriginal!$B$4:$Q$177,16,0)</f>
        <v>0</v>
      </c>
      <c r="K57" s="57">
        <f>VLOOKUP(A57,AuxOPEXSaneparOriginal!$B$4:$V$177,21,0)</f>
        <v>69681416.519999996</v>
      </c>
      <c r="L57" s="157">
        <f t="shared" si="50"/>
        <v>69681416.519999996</v>
      </c>
      <c r="M57" s="19">
        <f>VLOOKUP(A57,AuxOPEXSaneparOriginal!$B$4:$AB$177,27,0)</f>
        <v>0</v>
      </c>
      <c r="N57" s="156">
        <f>VLOOKUP(A57,AuxOPEXSaneparOriginal!$B$4:$AC$177,28,0)</f>
        <v>0</v>
      </c>
      <c r="O57" s="156">
        <f>VLOOKUP(A57,AuxOPEXSaneparOriginal!$B$4:$AD$177,29,0)</f>
        <v>0</v>
      </c>
      <c r="P57" s="156">
        <f>VLOOKUP(A57,AuxOPEXSaneparOriginal!$B$4:$AE$177,30,0)</f>
        <v>0</v>
      </c>
      <c r="Q57" s="146">
        <f>VLOOKUP(A57,AuxOPEXSaneparOriginal!$B$4:$AF$177,31,0)</f>
        <v>0</v>
      </c>
      <c r="R57" s="146">
        <f>VLOOKUP(A57,AuxOPEXSaneparOriginal!$B$4:$AG$177,32,0)</f>
        <v>0</v>
      </c>
      <c r="S57" s="146">
        <f>VLOOKUP(A57,AuxOPEXSaneparOriginal!$B$4:$AH$177,33,0)</f>
        <v>134245852.28</v>
      </c>
      <c r="T57" s="157">
        <f t="shared" si="51"/>
        <v>134245852.28</v>
      </c>
      <c r="U57" s="156">
        <f>VLOOKUP(A57,AuxOPEXSaneparOriginal!$B$4:$AI$177,34,0)</f>
        <v>0</v>
      </c>
      <c r="V57" s="156">
        <f>VLOOKUP(A57,AuxOPEXSaneparOriginal!$B$4:$AJ$177,35,0)</f>
        <v>0</v>
      </c>
      <c r="W57" s="156">
        <f>VLOOKUP(A57,AuxOPEXSaneparOriginal!$B$4:$AK$177,36,0)</f>
        <v>0</v>
      </c>
      <c r="X57" s="19">
        <f>+VLOOKUP(A57,AuxOPEXSaneparOriginal!$B$4:$AL$177,37,0)</f>
        <v>0</v>
      </c>
      <c r="Y57" s="146">
        <f>VLOOKUP(A57,AuxOPEXSaneparOriginal!$B$4:$AM$177,38,0)</f>
        <v>0</v>
      </c>
      <c r="Z57" s="146">
        <f>VLOOKUP(A57,AuxOPEXSaneparOriginal!$B$4:$AN$177,39,0)</f>
        <v>0</v>
      </c>
      <c r="AA57" s="146">
        <f>VLOOKUP(A57,AuxOPEXSaneparOriginal!$B$4:$AO$177,40,0)</f>
        <v>76626581.340000004</v>
      </c>
      <c r="AB57" s="157">
        <f t="shared" si="52"/>
        <v>76626581.340000004</v>
      </c>
      <c r="AC57" s="156">
        <f>VLOOKUP(A57,AuxOPEXSaneparOriginal!$B$4:$AP$177,41,0)</f>
        <v>0</v>
      </c>
      <c r="AD57" s="156">
        <f>+VLOOKUP(A57,AuxOPEXSaneparOriginal!$B$4:$AQ$177,42,0)</f>
        <v>0</v>
      </c>
      <c r="AE57" s="156">
        <f>VLOOKUP(A57,AuxOPEXSaneparOriginal!$B$4:$AR$177,43,0)</f>
        <v>0</v>
      </c>
      <c r="AF57" s="156">
        <f>+VLOOKUP(A57,AuxOPEXSaneparOriginal!$B$4:$AS$177,44,0)</f>
        <v>0</v>
      </c>
      <c r="AG57" s="146">
        <f>VLOOKUP(A57,AuxOPEXSaneparOriginal!$B$4:$AT$177,45,0)</f>
        <v>0</v>
      </c>
      <c r="AH57" s="146">
        <f>VLOOKUP(A57,AuxOPEXSaneparOriginal!$B$4:$AU$177,46,0)</f>
        <v>0</v>
      </c>
      <c r="AI57" s="146">
        <f>VLOOKUP(A57,AuxOPEXSaneparOriginal!$B$4:$AV$177,47,0)</f>
        <v>74421871.989999995</v>
      </c>
      <c r="AJ57" s="157">
        <f t="shared" si="53"/>
        <v>74421871.989999995</v>
      </c>
      <c r="AK57" s="157">
        <f t="shared" si="54"/>
        <v>88743930.532499999</v>
      </c>
      <c r="AL57" s="157">
        <f t="shared" si="55"/>
        <v>75524226.664999992</v>
      </c>
      <c r="AM57" s="144"/>
      <c r="AN57" s="167">
        <f t="shared" si="90"/>
        <v>0</v>
      </c>
      <c r="AO57" s="168">
        <f t="shared" si="91"/>
        <v>0</v>
      </c>
      <c r="AP57" s="57">
        <f t="shared" si="92"/>
        <v>0</v>
      </c>
      <c r="AQ57" s="57">
        <f t="shared" si="93"/>
        <v>0</v>
      </c>
      <c r="AR57" s="57">
        <f t="shared" si="94"/>
        <v>0</v>
      </c>
      <c r="AS57" s="57">
        <f t="shared" si="95"/>
        <v>0</v>
      </c>
      <c r="AT57" s="57">
        <f t="shared" si="96"/>
        <v>0</v>
      </c>
      <c r="AU57" s="157">
        <f t="shared" si="57"/>
        <v>0</v>
      </c>
      <c r="AV57" s="57">
        <f t="shared" si="97"/>
        <v>0</v>
      </c>
      <c r="AW57" s="57">
        <f t="shared" si="98"/>
        <v>0</v>
      </c>
      <c r="AX57" s="57">
        <f t="shared" si="99"/>
        <v>0</v>
      </c>
      <c r="AY57" s="57">
        <f t="shared" si="100"/>
        <v>0</v>
      </c>
      <c r="AZ57" s="57">
        <f t="shared" si="101"/>
        <v>0</v>
      </c>
      <c r="BA57" s="57">
        <f t="shared" si="102"/>
        <v>0</v>
      </c>
      <c r="BB57" s="57">
        <f t="shared" si="103"/>
        <v>0</v>
      </c>
      <c r="BC57" s="157">
        <f t="shared" si="58"/>
        <v>0</v>
      </c>
      <c r="BD57" s="57">
        <f t="shared" si="104"/>
        <v>0</v>
      </c>
      <c r="BE57" s="57">
        <f t="shared" si="105"/>
        <v>0</v>
      </c>
      <c r="BF57" s="57">
        <f t="shared" si="106"/>
        <v>0</v>
      </c>
      <c r="BG57" s="57">
        <f t="shared" si="107"/>
        <v>0</v>
      </c>
      <c r="BH57" s="57">
        <f t="shared" si="108"/>
        <v>0</v>
      </c>
      <c r="BI57" s="57">
        <f t="shared" si="109"/>
        <v>0</v>
      </c>
      <c r="BJ57" s="57">
        <f t="shared" si="110"/>
        <v>0</v>
      </c>
      <c r="BK57" s="157">
        <f t="shared" si="64"/>
        <v>0</v>
      </c>
      <c r="BL57" s="57">
        <f t="shared" si="111"/>
        <v>0</v>
      </c>
      <c r="BM57" s="57">
        <f t="shared" si="112"/>
        <v>0</v>
      </c>
      <c r="BN57" s="57">
        <f t="shared" si="113"/>
        <v>0</v>
      </c>
      <c r="BO57" s="57">
        <f t="shared" si="114"/>
        <v>0</v>
      </c>
      <c r="BP57" s="57">
        <f t="shared" si="115"/>
        <v>0</v>
      </c>
      <c r="BQ57" s="57">
        <f t="shared" si="116"/>
        <v>0</v>
      </c>
      <c r="BR57" s="57">
        <f t="shared" si="117"/>
        <v>0</v>
      </c>
      <c r="BS57" s="157">
        <f t="shared" si="72"/>
        <v>0</v>
      </c>
      <c r="BT57" s="157">
        <f t="shared" si="73"/>
        <v>0</v>
      </c>
      <c r="BU57" s="157">
        <f t="shared" si="74"/>
        <v>0</v>
      </c>
      <c r="BV57" s="144"/>
      <c r="BW57" s="158">
        <f t="shared" si="75"/>
        <v>0</v>
      </c>
      <c r="BX57" s="159">
        <f t="shared" si="76"/>
        <v>0</v>
      </c>
      <c r="BY57" s="159">
        <f t="shared" si="77"/>
        <v>0</v>
      </c>
      <c r="BZ57" s="159">
        <f t="shared" si="78"/>
        <v>0</v>
      </c>
      <c r="CA57" s="158">
        <f t="shared" si="118"/>
        <v>0</v>
      </c>
      <c r="CB57" s="157">
        <f t="shared" si="119"/>
        <v>0</v>
      </c>
      <c r="CC57" s="144"/>
      <c r="CD57" s="158">
        <f t="shared" si="79"/>
        <v>0</v>
      </c>
      <c r="CE57" s="159">
        <f t="shared" si="80"/>
        <v>0</v>
      </c>
      <c r="CF57" s="159">
        <f t="shared" si="81"/>
        <v>0</v>
      </c>
      <c r="CG57" s="159">
        <f t="shared" si="126"/>
        <v>0</v>
      </c>
      <c r="CH57" s="158">
        <f t="shared" si="120"/>
        <v>0</v>
      </c>
      <c r="CI57" s="157">
        <f t="shared" si="121"/>
        <v>0</v>
      </c>
      <c r="CK57" s="61">
        <f t="shared" si="122"/>
        <v>0</v>
      </c>
      <c r="CL57" s="62">
        <f t="shared" si="123"/>
        <v>0</v>
      </c>
      <c r="CM57" s="63">
        <f t="shared" si="124"/>
        <v>0</v>
      </c>
      <c r="CN57" s="61">
        <f t="shared" si="125"/>
        <v>0</v>
      </c>
      <c r="CO57" s="29"/>
      <c r="CP57" s="61">
        <f t="shared" si="82"/>
        <v>0</v>
      </c>
      <c r="CQ57" s="62">
        <f t="shared" si="83"/>
        <v>0</v>
      </c>
      <c r="CR57" s="63">
        <f t="shared" si="84"/>
        <v>0</v>
      </c>
      <c r="CS57" s="61">
        <f t="shared" si="85"/>
        <v>0</v>
      </c>
      <c r="CU57" s="60">
        <f t="shared" si="86"/>
        <v>0</v>
      </c>
      <c r="CV57" s="132">
        <f t="shared" si="87"/>
        <v>0</v>
      </c>
      <c r="CW57" s="132">
        <f t="shared" si="88"/>
        <v>0</v>
      </c>
      <c r="CX57" s="131">
        <f t="shared" si="89"/>
        <v>0</v>
      </c>
    </row>
    <row r="58" spans="1:102">
      <c r="B58" s="67" t="s">
        <v>88</v>
      </c>
      <c r="C58" s="68"/>
      <c r="D58" s="69"/>
      <c r="E58" s="70">
        <f t="shared" ref="E58:F58" si="127">SUM(E37:E57)</f>
        <v>146088541.15000007</v>
      </c>
      <c r="F58" s="70">
        <f t="shared" si="127"/>
        <v>134608616.45000002</v>
      </c>
      <c r="G58" s="70">
        <f t="shared" ref="G58:M58" si="128">SUM(G37:G57)</f>
        <v>36753369.680000007</v>
      </c>
      <c r="H58" s="70">
        <f t="shared" si="128"/>
        <v>59027771.729999997</v>
      </c>
      <c r="I58" s="160">
        <f t="shared" si="128"/>
        <v>115478828.23999998</v>
      </c>
      <c r="J58" s="160">
        <f t="shared" si="128"/>
        <v>570952755.58000004</v>
      </c>
      <c r="K58" s="160">
        <f t="shared" si="128"/>
        <v>69681416.519999996</v>
      </c>
      <c r="L58" s="160">
        <f t="shared" si="128"/>
        <v>1132591299.3500001</v>
      </c>
      <c r="M58" s="160">
        <f t="shared" si="128"/>
        <v>139608708.08999997</v>
      </c>
      <c r="N58" s="160">
        <f t="shared" ref="N58:O58" si="129">SUM(N37:N57)</f>
        <v>128756409.25000003</v>
      </c>
      <c r="O58" s="160">
        <f t="shared" si="129"/>
        <v>36512674.920000009</v>
      </c>
      <c r="P58" s="160">
        <f t="shared" ref="P58:U58" si="130">SUM(P37:P57)</f>
        <v>59763057.679999992</v>
      </c>
      <c r="Q58" s="160">
        <f t="shared" si="130"/>
        <v>117273851.98999998</v>
      </c>
      <c r="R58" s="160">
        <f t="shared" si="130"/>
        <v>548980530.76999998</v>
      </c>
      <c r="S58" s="160">
        <f t="shared" si="130"/>
        <v>134245852.28</v>
      </c>
      <c r="T58" s="160">
        <f t="shared" si="130"/>
        <v>1165141084.9799998</v>
      </c>
      <c r="U58" s="160">
        <f t="shared" si="130"/>
        <v>149398100.39000002</v>
      </c>
      <c r="V58" s="160">
        <f t="shared" ref="V58:W58" si="131">SUM(V37:V57)</f>
        <v>135216486.51999998</v>
      </c>
      <c r="W58" s="160">
        <f t="shared" si="131"/>
        <v>42019443.330000006</v>
      </c>
      <c r="X58" s="160">
        <f t="shared" ref="X58:AC58" si="132">SUM(X37:X57)</f>
        <v>67417595.759999976</v>
      </c>
      <c r="Y58" s="160">
        <f t="shared" si="132"/>
        <v>127046544.29999992</v>
      </c>
      <c r="Z58" s="160">
        <f t="shared" si="132"/>
        <v>569255185.19999993</v>
      </c>
      <c r="AA58" s="160">
        <f t="shared" si="132"/>
        <v>76626581.340000004</v>
      </c>
      <c r="AB58" s="160">
        <f t="shared" si="132"/>
        <v>1166979936.8399999</v>
      </c>
      <c r="AC58" s="160">
        <f t="shared" si="132"/>
        <v>157602004.19000006</v>
      </c>
      <c r="AD58" s="160">
        <f t="shared" ref="AD58:AE58" si="133">SUM(AD37:AD57)</f>
        <v>146096750.92999995</v>
      </c>
      <c r="AE58" s="160">
        <f t="shared" si="133"/>
        <v>51774414.190000005</v>
      </c>
      <c r="AF58" s="160">
        <f>SUM(AF37:AF57)</f>
        <v>78566853.400000036</v>
      </c>
      <c r="AG58" s="160">
        <f>SUM(AG37:AG57)</f>
        <v>147310363.41</v>
      </c>
      <c r="AH58" s="160">
        <f>SUM(AH37:AH57)</f>
        <v>627665771.28999996</v>
      </c>
      <c r="AI58" s="160">
        <f>SUM(AI37:AI57)</f>
        <v>74421871.989999995</v>
      </c>
      <c r="AJ58" s="160">
        <f>SUM(AJ37:AJ57)</f>
        <v>1283438029.4000001</v>
      </c>
      <c r="AK58" s="161">
        <f t="shared" si="54"/>
        <v>1187037587.6424999</v>
      </c>
      <c r="AL58" s="161">
        <f t="shared" si="55"/>
        <v>1225208983.1199999</v>
      </c>
      <c r="AM58" s="144"/>
      <c r="AN58" s="133">
        <f t="shared" ref="AN58:AO58" si="134">SUM(AN37:AN57)</f>
        <v>142111329.09000006</v>
      </c>
      <c r="AO58" s="134">
        <f t="shared" si="134"/>
        <v>130987132.43000001</v>
      </c>
      <c r="AP58" s="70">
        <f t="shared" ref="AP58" si="135">SUM(AP37:AP57)</f>
        <v>35792154.000000007</v>
      </c>
      <c r="AQ58" s="70">
        <f t="shared" ref="AQ58" si="136">SUM(AQ37:AQ57)</f>
        <v>57413657.979999997</v>
      </c>
      <c r="AR58" s="160">
        <f t="shared" ref="AR58" si="137">SUM(AR37:AR57)</f>
        <v>112694639.97999997</v>
      </c>
      <c r="AS58" s="160">
        <f t="shared" ref="AS58" si="138">SUM(AS37:AS57)</f>
        <v>553545390.78000009</v>
      </c>
      <c r="AT58" s="160">
        <f t="shared" ref="AT58" si="139">SUM(AT37:AT57)</f>
        <v>0</v>
      </c>
      <c r="AU58" s="160">
        <f t="shared" ref="AU58" si="140">SUM(AU37:AU57)</f>
        <v>1032544304.26</v>
      </c>
      <c r="AV58" s="160">
        <f t="shared" ref="AV58:AX58" si="141">SUM(AV37:AV57)</f>
        <v>135581071.82999998</v>
      </c>
      <c r="AW58" s="160">
        <f t="shared" si="141"/>
        <v>125060661.93000002</v>
      </c>
      <c r="AX58" s="160">
        <f t="shared" si="141"/>
        <v>35489756.180000007</v>
      </c>
      <c r="AY58" s="160">
        <f t="shared" ref="AY58" si="142">SUM(AY37:AY57)</f>
        <v>58001601.699999996</v>
      </c>
      <c r="AZ58" s="160">
        <f t="shared" ref="AZ58" si="143">SUM(AZ37:AZ57)</f>
        <v>114241282.88999999</v>
      </c>
      <c r="BA58" s="160">
        <f t="shared" ref="BA58" si="144">SUM(BA37:BA57)</f>
        <v>531049764.04999995</v>
      </c>
      <c r="BB58" s="160">
        <f t="shared" ref="BB58" si="145">SUM(BB37:BB57)</f>
        <v>0</v>
      </c>
      <c r="BC58" s="160">
        <f t="shared" ref="BC58" si="146">SUM(BC37:BC57)</f>
        <v>999424138.5799998</v>
      </c>
      <c r="BD58" s="160">
        <f t="shared" ref="BD58:BF58" si="147">SUM(BD37:BD57)</f>
        <v>145073356.47000003</v>
      </c>
      <c r="BE58" s="160">
        <f t="shared" si="147"/>
        <v>131269598.98999998</v>
      </c>
      <c r="BF58" s="160">
        <f t="shared" si="147"/>
        <v>40829162.510000005</v>
      </c>
      <c r="BG58" s="160">
        <f t="shared" ref="BG58" si="148">SUM(BG37:BG57)</f>
        <v>65372662.999999978</v>
      </c>
      <c r="BH58" s="160">
        <f t="shared" ref="BH58" si="149">SUM(BH37:BH57)</f>
        <v>123752377.85999992</v>
      </c>
      <c r="BI58" s="160">
        <f t="shared" ref="BI58" si="150">SUM(BI37:BI57)</f>
        <v>550609103.2299999</v>
      </c>
      <c r="BJ58" s="160">
        <f t="shared" ref="BJ58" si="151">SUM(BJ37:BJ57)</f>
        <v>0</v>
      </c>
      <c r="BK58" s="160">
        <f t="shared" ref="BK58:BR58" si="152">SUM(BK37:BK57)</f>
        <v>1056906262.0600001</v>
      </c>
      <c r="BL58" s="160">
        <f t="shared" si="152"/>
        <v>153336205.60000005</v>
      </c>
      <c r="BM58" s="160">
        <f t="shared" si="152"/>
        <v>142187332.67999995</v>
      </c>
      <c r="BN58" s="160">
        <f t="shared" si="152"/>
        <v>50419157.510000005</v>
      </c>
      <c r="BO58" s="160">
        <f t="shared" si="152"/>
        <v>76353762.860000029</v>
      </c>
      <c r="BP58" s="160">
        <f t="shared" si="152"/>
        <v>143757591.60999998</v>
      </c>
      <c r="BQ58" s="160">
        <f t="shared" si="152"/>
        <v>608732294.82999992</v>
      </c>
      <c r="BR58" s="160">
        <f t="shared" si="152"/>
        <v>0</v>
      </c>
      <c r="BS58" s="164">
        <f>SUM(BS37:BS57)</f>
        <v>1174786345.0900002</v>
      </c>
      <c r="BT58" s="161">
        <f t="shared" si="73"/>
        <v>1065915262.4974999</v>
      </c>
      <c r="BU58" s="161">
        <f t="shared" si="74"/>
        <v>1115846303.575</v>
      </c>
      <c r="BV58" s="144"/>
      <c r="BW58" s="162">
        <f t="shared" ref="BW58:CB58" si="153">SUM(BW37:BW57)</f>
        <v>1032544304.26</v>
      </c>
      <c r="BX58" s="163">
        <f t="shared" si="153"/>
        <v>999424138.5799998</v>
      </c>
      <c r="BY58" s="163">
        <f t="shared" si="153"/>
        <v>1056906262.0600001</v>
      </c>
      <c r="BZ58" s="163">
        <f t="shared" si="153"/>
        <v>1174786345.0900002</v>
      </c>
      <c r="CA58" s="162">
        <f t="shared" si="153"/>
        <v>1065915262.4975002</v>
      </c>
      <c r="CB58" s="164">
        <f t="shared" si="153"/>
        <v>1047319570.1899997</v>
      </c>
      <c r="CC58" s="144"/>
      <c r="CD58" s="162">
        <f t="shared" ref="CD58:CI58" si="154">SUM(CD37:CD57)</f>
        <v>1172957835.8532784</v>
      </c>
      <c r="CE58" s="163">
        <f t="shared" si="154"/>
        <v>1091185566.2668254</v>
      </c>
      <c r="CF58" s="163">
        <f t="shared" si="154"/>
        <v>1117353796.2153711</v>
      </c>
      <c r="CG58" s="163">
        <f t="shared" si="154"/>
        <v>1174786345.0900002</v>
      </c>
      <c r="CH58" s="162">
        <f t="shared" si="154"/>
        <v>1139070885.856369</v>
      </c>
      <c r="CI58" s="164">
        <f t="shared" si="154"/>
        <v>1126171223.6025462</v>
      </c>
      <c r="CK58" s="73">
        <f>IFERROR(+CE58/CD58-1,0)</f>
        <v>-6.9714585713958721E-2</v>
      </c>
      <c r="CL58" s="74">
        <f>IFERROR(+CF58/CE58-1,0)</f>
        <v>2.3981466358717229E-2</v>
      </c>
      <c r="CM58" s="74">
        <f>IFERROR(+CG58/CF58-1,0)</f>
        <v>5.1400504539529823E-2</v>
      </c>
      <c r="CN58" s="74">
        <f>IFERROR(+CG58/CD58-1,0)</f>
        <v>1.5588874389431684E-3</v>
      </c>
      <c r="CO58" s="29"/>
      <c r="CP58" s="73">
        <f>SUM(CP37:CP57)</f>
        <v>0.4941258614834671</v>
      </c>
      <c r="CQ58" s="74">
        <f t="shared" ref="CQ58:CS58" si="155">SUM(CQ37:CQ57)</f>
        <v>0.46984838805302681</v>
      </c>
      <c r="CR58" s="74">
        <f t="shared" si="155"/>
        <v>0.46400715137370002</v>
      </c>
      <c r="CS58" s="74">
        <f t="shared" si="155"/>
        <v>0.48540208098484627</v>
      </c>
      <c r="CU58" s="133">
        <f t="shared" si="86"/>
        <v>100</v>
      </c>
      <c r="CV58" s="134">
        <f t="shared" si="87"/>
        <v>93.028541428604129</v>
      </c>
      <c r="CW58" s="134">
        <f t="shared" si="88"/>
        <v>95.259502265274719</v>
      </c>
      <c r="CX58" s="136">
        <f t="shared" si="89"/>
        <v>100.15588874389432</v>
      </c>
    </row>
    <row r="59" spans="1:102">
      <c r="A59" s="29">
        <v>201</v>
      </c>
      <c r="B59" s="29" t="s">
        <v>3</v>
      </c>
      <c r="C59" s="55" t="s">
        <v>89</v>
      </c>
      <c r="D59" s="56">
        <v>0</v>
      </c>
      <c r="E59" s="57">
        <f>VLOOKUP(A59,AuxOPEXSaneparOriginal!$B$4:$F$177,3,0)</f>
        <v>104147.89999999998</v>
      </c>
      <c r="F59" s="156">
        <f>VLOOKUP(A59,AuxOPEXSaneparOriginal!$B$4:$F$177,4,0)</f>
        <v>40793.230000000018</v>
      </c>
      <c r="G59" s="57">
        <f>VLOOKUP(A59,AuxOPEXSaneparOriginal!$B$4:$K$177,8,0)</f>
        <v>7132.63</v>
      </c>
      <c r="H59" s="156">
        <f>VLOOKUP(A59,AuxOPEXSaneparOriginal!$B$4:$K$177,9,0)</f>
        <v>38796.399999999994</v>
      </c>
      <c r="I59" s="57">
        <f>VLOOKUP(A59,AuxOPEXSaneparOriginal!$B$4:$N$177,13,0)</f>
        <v>1266573.3699999999</v>
      </c>
      <c r="J59" s="57">
        <f>VLOOKUP(A59,AuxOPEXSaneparOriginal!$B$4:$Q$177,16,0)</f>
        <v>4112166.4699999997</v>
      </c>
      <c r="K59" s="57">
        <f>VLOOKUP(A59,AuxOPEXSaneparOriginal!$B$4:$V$177,21,0)</f>
        <v>0</v>
      </c>
      <c r="L59" s="157">
        <f t="shared" ref="L59:L72" si="156">SUM(E59:K59)</f>
        <v>5569610</v>
      </c>
      <c r="M59" s="19">
        <f>VLOOKUP(A59,AuxOPEXSaneparOriginal!$B$4:$AB$177,27,0)</f>
        <v>130334.76000000004</v>
      </c>
      <c r="N59" s="156">
        <f>VLOOKUP(A59,AuxOPEXSaneparOriginal!$B$4:$AC$177,28,0)</f>
        <v>64908.56</v>
      </c>
      <c r="O59" s="156">
        <f>VLOOKUP(A59,AuxOPEXSaneparOriginal!$B$4:$AD$177,29,0)</f>
        <v>9257.5099999999984</v>
      </c>
      <c r="P59" s="156">
        <f>VLOOKUP(A59,AuxOPEXSaneparOriginal!$B$4:$AE$177,30,0)</f>
        <v>54334.5</v>
      </c>
      <c r="Q59" s="146">
        <f>VLOOKUP(A59,AuxOPEXSaneparOriginal!$B$4:$AF$177,31,0)</f>
        <v>1399015.1099999999</v>
      </c>
      <c r="R59" s="146">
        <f>VLOOKUP(A59,AuxOPEXSaneparOriginal!$B$4:$AG$177,32,0)</f>
        <v>3257059.17</v>
      </c>
      <c r="S59" s="146">
        <f>VLOOKUP(A59,AuxOPEXSaneparOriginal!$B$4:$AH$177,33,0)</f>
        <v>0</v>
      </c>
      <c r="T59" s="157">
        <f t="shared" ref="T59:T72" si="157">SUM(M59:S59)</f>
        <v>4914909.6099999994</v>
      </c>
      <c r="U59" s="156">
        <f>VLOOKUP(A59,AuxOPEXSaneparOriginal!$B$4:$AI$177,34,0)</f>
        <v>161752.53</v>
      </c>
      <c r="V59" s="156">
        <f>VLOOKUP(A59,AuxOPEXSaneparOriginal!$B$4:$AJ$177,35,0)</f>
        <v>92690.149999999965</v>
      </c>
      <c r="W59" s="156">
        <f>VLOOKUP(A59,AuxOPEXSaneparOriginal!$B$4:$AK$177,36,0)</f>
        <v>5751.11</v>
      </c>
      <c r="X59" s="19">
        <f>+VLOOKUP(A59,AuxOPEXSaneparOriginal!$B$4:$AL$177,37,0)</f>
        <v>30949.030000000002</v>
      </c>
      <c r="Y59" s="146">
        <f>VLOOKUP(A59,AuxOPEXSaneparOriginal!$B$4:$AM$177,38,0)</f>
        <v>1688654.5799999991</v>
      </c>
      <c r="Z59" s="146">
        <f>VLOOKUP(A59,AuxOPEXSaneparOriginal!$B$4:$AN$177,39,0)</f>
        <v>2912142.1099999994</v>
      </c>
      <c r="AA59" s="146">
        <f>VLOOKUP(A59,AuxOPEXSaneparOriginal!$B$4:$AO$177,40,0)</f>
        <v>0</v>
      </c>
      <c r="AB59" s="157">
        <f t="shared" ref="AB59:AB72" si="158">SUM(U59:AA59)</f>
        <v>4891939.5099999979</v>
      </c>
      <c r="AC59" s="156">
        <f>VLOOKUP(A59,AuxOPEXSaneparOriginal!$B$4:$AP$177,41,0)</f>
        <v>97389.730000000054</v>
      </c>
      <c r="AD59" s="156">
        <f>+VLOOKUP(A59,AuxOPEXSaneparOriginal!$B$4:$AQ$177,42,0)</f>
        <v>65962.78</v>
      </c>
      <c r="AE59" s="156">
        <f>VLOOKUP(A59,AuxOPEXSaneparOriginal!$B$4:$AR$177,43,0)</f>
        <v>5773.8200000000006</v>
      </c>
      <c r="AF59" s="156">
        <f>+VLOOKUP(A59,AuxOPEXSaneparOriginal!$B$4:$AS$177,44,0)</f>
        <v>33954.700000000019</v>
      </c>
      <c r="AG59" s="146">
        <f>VLOOKUP(A59,AuxOPEXSaneparOriginal!$B$4:$AT$177,45,0)</f>
        <v>1882848.62</v>
      </c>
      <c r="AH59" s="146">
        <f>VLOOKUP(A59,AuxOPEXSaneparOriginal!$B$4:$AU$177,46,0)</f>
        <v>2227469.9099999997</v>
      </c>
      <c r="AI59" s="146">
        <f>VLOOKUP(A59,AuxOPEXSaneparOriginal!$B$4:$AV$177,47,0)</f>
        <v>0</v>
      </c>
      <c r="AJ59" s="157">
        <f t="shared" ref="AJ59:AJ72" si="159">SUM(AC59:AI59)</f>
        <v>4313399.5599999996</v>
      </c>
      <c r="AK59" s="157">
        <f t="shared" si="54"/>
        <v>4922464.669999999</v>
      </c>
      <c r="AL59" s="157">
        <f t="shared" si="55"/>
        <v>4602669.5349999983</v>
      </c>
      <c r="AM59" s="144"/>
      <c r="AN59" s="167">
        <f t="shared" ref="AN59:AN72" si="160">E59*(1-$D59)</f>
        <v>104147.89999999998</v>
      </c>
      <c r="AO59" s="168">
        <f t="shared" ref="AO59:AO72" si="161">F59*(1-$D59)</f>
        <v>40793.230000000018</v>
      </c>
      <c r="AP59" s="57">
        <f t="shared" ref="AP59:AP72" si="162">G59*(1-$D59)</f>
        <v>7132.63</v>
      </c>
      <c r="AQ59" s="57">
        <f t="shared" ref="AQ59:AQ72" si="163">H59*(1-$D59)</f>
        <v>38796.399999999994</v>
      </c>
      <c r="AR59" s="57">
        <f t="shared" ref="AR59:AR72" si="164">I59*(1-$D59)</f>
        <v>1266573.3699999999</v>
      </c>
      <c r="AS59" s="57">
        <f t="shared" ref="AS59:AS72" si="165">J59*(1-$D59)</f>
        <v>4112166.4699999997</v>
      </c>
      <c r="AT59" s="57">
        <f t="shared" ref="AT59:AT72" si="166">K59*(1-$D59)</f>
        <v>0</v>
      </c>
      <c r="AU59" s="157">
        <f t="shared" ref="AU59:AU72" si="167">SUM(AN59:AT59)</f>
        <v>5569610</v>
      </c>
      <c r="AV59" s="57">
        <f t="shared" ref="AV59:AV72" si="168">M59*(1-$D59)</f>
        <v>130334.76000000004</v>
      </c>
      <c r="AW59" s="57">
        <f t="shared" ref="AW59:AW72" si="169">N59*(1-$D59)</f>
        <v>64908.56</v>
      </c>
      <c r="AX59" s="57">
        <f t="shared" ref="AX59:AX72" si="170">O59*(1-$D59)</f>
        <v>9257.5099999999984</v>
      </c>
      <c r="AY59" s="57">
        <f t="shared" ref="AY59:AY72" si="171">P59*(1-$D59)</f>
        <v>54334.5</v>
      </c>
      <c r="AZ59" s="57">
        <f t="shared" ref="AZ59:AZ72" si="172">Q59*(1-$D59)</f>
        <v>1399015.1099999999</v>
      </c>
      <c r="BA59" s="57">
        <f t="shared" ref="BA59:BA72" si="173">R59*(1-$D59)</f>
        <v>3257059.17</v>
      </c>
      <c r="BB59" s="57">
        <f t="shared" ref="BB59:BB72" si="174">S59*(1-$D59)</f>
        <v>0</v>
      </c>
      <c r="BC59" s="157">
        <f t="shared" ref="BC59:BC72" si="175">SUM(AV59:BB59)</f>
        <v>4914909.6099999994</v>
      </c>
      <c r="BD59" s="57">
        <f t="shared" ref="BD59:BD72" si="176">U59*(1-$D59)</f>
        <v>161752.53</v>
      </c>
      <c r="BE59" s="57">
        <f t="shared" ref="BE59:BE72" si="177">V59*(1-$D59)</f>
        <v>92690.149999999965</v>
      </c>
      <c r="BF59" s="57">
        <f t="shared" ref="BF59:BF72" si="178">W59*(1-$D59)</f>
        <v>5751.11</v>
      </c>
      <c r="BG59" s="57">
        <f t="shared" ref="BG59:BG72" si="179">X59*(1-$D59)</f>
        <v>30949.030000000002</v>
      </c>
      <c r="BH59" s="57">
        <f t="shared" ref="BH59:BH72" si="180">Y59*(1-$D59)</f>
        <v>1688654.5799999991</v>
      </c>
      <c r="BI59" s="57">
        <f t="shared" ref="BI59:BI72" si="181">Z59*(1-$D59)</f>
        <v>2912142.1099999994</v>
      </c>
      <c r="BJ59" s="57">
        <f t="shared" ref="BJ59:BJ72" si="182">AA59*(1-$D59)</f>
        <v>0</v>
      </c>
      <c r="BK59" s="157">
        <f t="shared" ref="BK59:BK72" si="183">SUM(BD59:BJ59)</f>
        <v>4891939.5099999979</v>
      </c>
      <c r="BL59" s="57">
        <f t="shared" si="111"/>
        <v>97389.730000000054</v>
      </c>
      <c r="BM59" s="57">
        <f t="shared" si="112"/>
        <v>65962.78</v>
      </c>
      <c r="BN59" s="57">
        <f t="shared" si="113"/>
        <v>5773.8200000000006</v>
      </c>
      <c r="BO59" s="57">
        <f t="shared" si="114"/>
        <v>33954.700000000019</v>
      </c>
      <c r="BP59" s="57">
        <f t="shared" si="115"/>
        <v>1882848.62</v>
      </c>
      <c r="BQ59" s="57">
        <f t="shared" si="116"/>
        <v>2227469.9099999997</v>
      </c>
      <c r="BR59" s="57">
        <f t="shared" si="117"/>
        <v>0</v>
      </c>
      <c r="BS59" s="157">
        <f t="shared" ref="BS59:BS72" si="184">SUM(BL59:BR59)</f>
        <v>4313399.5599999996</v>
      </c>
      <c r="BT59" s="157">
        <f t="shared" si="73"/>
        <v>4922464.669999999</v>
      </c>
      <c r="BU59" s="157">
        <f t="shared" si="74"/>
        <v>4602669.5349999983</v>
      </c>
      <c r="BV59" s="144"/>
      <c r="BW59" s="158">
        <f t="shared" ref="BW59:BW72" si="185">L59*(1-$D59)</f>
        <v>5569610</v>
      </c>
      <c r="BX59" s="159">
        <f t="shared" ref="BX59:BX72" si="186">T59*(1-$D59)</f>
        <v>4914909.6099999994</v>
      </c>
      <c r="BY59" s="159">
        <f t="shared" ref="BY59:BY72" si="187">AB59*(1-$D59)</f>
        <v>4891939.5099999979</v>
      </c>
      <c r="BZ59" s="159">
        <f t="shared" ref="BZ59:BZ72" si="188">AJ59*(1-$D59)</f>
        <v>4313399.5599999996</v>
      </c>
      <c r="CA59" s="158">
        <f t="shared" ref="CA59:CA72" si="189">AVERAGE(BW59:BZ59)</f>
        <v>4922464.669999999</v>
      </c>
      <c r="CB59" s="157">
        <f t="shared" ref="CB59:CB72" si="190">MEDIAN(BW59:BZ59)</f>
        <v>4903424.5599999987</v>
      </c>
      <c r="CC59" s="144"/>
      <c r="CD59" s="158">
        <f t="shared" ref="CD59:CD72" si="191">+BW59*F$16</f>
        <v>6327009.5677189995</v>
      </c>
      <c r="CE59" s="159">
        <f t="shared" ref="CE59:CE72" si="192">+BX59*G$16</f>
        <v>5366168.5954054222</v>
      </c>
      <c r="CF59" s="159">
        <f t="shared" ref="CF59:CF72" si="193">+BY59*H$16</f>
        <v>5171723.7172014769</v>
      </c>
      <c r="CG59" s="159">
        <f t="shared" ref="CG59:CG72" si="194">BZ59</f>
        <v>4313399.5599999996</v>
      </c>
      <c r="CH59" s="158">
        <f t="shared" ref="CH59:CH72" si="195">AVERAGE(CD59:CG59)</f>
        <v>5294575.3600814743</v>
      </c>
      <c r="CI59" s="157">
        <f t="shared" ref="CI59:CI72" si="196">MEDIAN(CD59:CG59)</f>
        <v>5268946.1563034495</v>
      </c>
      <c r="CK59" s="61">
        <f t="shared" ref="CK59:CK72" si="197">IFERROR(+CE59/CD59-1,0)</f>
        <v>-0.15186336641813836</v>
      </c>
      <c r="CL59" s="62">
        <f t="shared" ref="CL59:CL72" si="198">IFERROR(+CF59/CE59-1,0)</f>
        <v>-3.6235327822243812E-2</v>
      </c>
      <c r="CM59" s="63">
        <f t="shared" ref="CM59:CM72" si="199">IFERROR(+CG59/CF59-1,0)</f>
        <v>-0.16596481253370854</v>
      </c>
      <c r="CN59" s="61">
        <f t="shared" ref="CN59:CN72" si="200">IFERROR(+CG59/CD59-1,0)</f>
        <v>-0.31825619768186042</v>
      </c>
      <c r="CO59" s="29"/>
      <c r="CP59" s="61">
        <f t="shared" ref="CP59:CP72" si="201">+CD59/CD$177</f>
        <v>2.6653464921771947E-3</v>
      </c>
      <c r="CQ59" s="62">
        <f t="shared" ref="CQ59:CQ72" si="202">+CE59/CE$177</f>
        <v>2.3105929390157343E-3</v>
      </c>
      <c r="CR59" s="63">
        <f t="shared" ref="CR59:CR72" si="203">+CF59/CF$177</f>
        <v>2.1476785578915347E-3</v>
      </c>
      <c r="CS59" s="61">
        <f t="shared" ref="CS59:CS72" si="204">+CG59/CG$177</f>
        <v>1.7822245987909569E-3</v>
      </c>
      <c r="CU59" s="60">
        <f t="shared" si="86"/>
        <v>100</v>
      </c>
      <c r="CV59" s="132">
        <f t="shared" si="87"/>
        <v>84.813663358186162</v>
      </c>
      <c r="CW59" s="132">
        <f t="shared" si="88"/>
        <v>81.740412462596865</v>
      </c>
      <c r="CX59" s="131">
        <f t="shared" si="89"/>
        <v>68.174380231813956</v>
      </c>
    </row>
    <row r="60" spans="1:102">
      <c r="A60" s="29">
        <v>202</v>
      </c>
      <c r="B60" s="29" t="s">
        <v>3</v>
      </c>
      <c r="C60" s="55" t="s">
        <v>90</v>
      </c>
      <c r="D60" s="56">
        <v>0</v>
      </c>
      <c r="E60" s="57">
        <f>VLOOKUP(A60,AuxOPEXSaneparOriginal!$B$4:$F$177,3,0)</f>
        <v>3490314.7499999995</v>
      </c>
      <c r="F60" s="156">
        <f>VLOOKUP(A60,AuxOPEXSaneparOriginal!$B$4:$F$177,4,0)</f>
        <v>47450.05</v>
      </c>
      <c r="G60" s="57">
        <f>VLOOKUP(A60,AuxOPEXSaneparOriginal!$B$4:$K$177,8,0)</f>
        <v>0</v>
      </c>
      <c r="H60" s="156">
        <f>VLOOKUP(A60,AuxOPEXSaneparOriginal!$B$4:$K$177,9,0)</f>
        <v>2986499.3700000024</v>
      </c>
      <c r="I60" s="57">
        <f>VLOOKUP(A60,AuxOPEXSaneparOriginal!$B$4:$N$177,13,0)</f>
        <v>0</v>
      </c>
      <c r="J60" s="57">
        <f>VLOOKUP(A60,AuxOPEXSaneparOriginal!$B$4:$Q$177,16,0)</f>
        <v>9574.7099999999991</v>
      </c>
      <c r="K60" s="57">
        <f>VLOOKUP(A60,AuxOPEXSaneparOriginal!$B$4:$V$177,21,0)</f>
        <v>0</v>
      </c>
      <c r="L60" s="157">
        <f t="shared" si="156"/>
        <v>6533838.8800000018</v>
      </c>
      <c r="M60" s="19">
        <f>VLOOKUP(A60,AuxOPEXSaneparOriginal!$B$4:$AB$177,27,0)</f>
        <v>2557331.4399999985</v>
      </c>
      <c r="N60" s="156">
        <f>VLOOKUP(A60,AuxOPEXSaneparOriginal!$B$4:$AC$177,28,0)</f>
        <v>143133.30000000002</v>
      </c>
      <c r="O60" s="156">
        <f>VLOOKUP(A60,AuxOPEXSaneparOriginal!$B$4:$AD$177,29,0)</f>
        <v>0</v>
      </c>
      <c r="P60" s="156">
        <f>VLOOKUP(A60,AuxOPEXSaneparOriginal!$B$4:$AE$177,30,0)</f>
        <v>2094024.820000001</v>
      </c>
      <c r="Q60" s="146">
        <f>VLOOKUP(A60,AuxOPEXSaneparOriginal!$B$4:$AF$177,31,0)</f>
        <v>0</v>
      </c>
      <c r="R60" s="146">
        <f>VLOOKUP(A60,AuxOPEXSaneparOriginal!$B$4:$AG$177,32,0)</f>
        <v>7550.19</v>
      </c>
      <c r="S60" s="146">
        <f>VLOOKUP(A60,AuxOPEXSaneparOriginal!$B$4:$AH$177,33,0)</f>
        <v>0</v>
      </c>
      <c r="T60" s="157">
        <f t="shared" si="157"/>
        <v>4802039.75</v>
      </c>
      <c r="U60" s="156">
        <f>VLOOKUP(A60,AuxOPEXSaneparOriginal!$B$4:$AI$177,34,0)</f>
        <v>2640913.2100000023</v>
      </c>
      <c r="V60" s="156">
        <f>VLOOKUP(A60,AuxOPEXSaneparOriginal!$B$4:$AJ$177,35,0)</f>
        <v>289536.58999999997</v>
      </c>
      <c r="W60" s="156">
        <f>VLOOKUP(A60,AuxOPEXSaneparOriginal!$B$4:$AK$177,36,0)</f>
        <v>0</v>
      </c>
      <c r="X60" s="19">
        <f>+VLOOKUP(A60,AuxOPEXSaneparOriginal!$B$4:$AL$177,37,0)</f>
        <v>2938008.9199999985</v>
      </c>
      <c r="Y60" s="146">
        <f>VLOOKUP(A60,AuxOPEXSaneparOriginal!$B$4:$AM$177,38,0)</f>
        <v>0</v>
      </c>
      <c r="Z60" s="146">
        <f>VLOOKUP(A60,AuxOPEXSaneparOriginal!$B$4:$AN$177,39,0)</f>
        <v>3014.49</v>
      </c>
      <c r="AA60" s="146">
        <f>VLOOKUP(A60,AuxOPEXSaneparOriginal!$B$4:$AO$177,40,0)</f>
        <v>0</v>
      </c>
      <c r="AB60" s="157">
        <f t="shared" si="158"/>
        <v>5871473.2100000009</v>
      </c>
      <c r="AC60" s="156">
        <f>VLOOKUP(A60,AuxOPEXSaneparOriginal!$B$4:$AP$177,41,0)</f>
        <v>2714399.2499999995</v>
      </c>
      <c r="AD60" s="156">
        <f>+VLOOKUP(A60,AuxOPEXSaneparOriginal!$B$4:$AQ$177,42,0)</f>
        <v>80415.069999999992</v>
      </c>
      <c r="AE60" s="156">
        <f>VLOOKUP(A60,AuxOPEXSaneparOriginal!$B$4:$AR$177,43,0)</f>
        <v>0</v>
      </c>
      <c r="AF60" s="156">
        <f>+VLOOKUP(A60,AuxOPEXSaneparOriginal!$B$4:$AS$177,44,0)</f>
        <v>3807648.62</v>
      </c>
      <c r="AG60" s="146">
        <f>VLOOKUP(A60,AuxOPEXSaneparOriginal!$B$4:$AT$177,45,0)</f>
        <v>0</v>
      </c>
      <c r="AH60" s="146">
        <f>VLOOKUP(A60,AuxOPEXSaneparOriginal!$B$4:$AU$177,46,0)</f>
        <v>29721.74</v>
      </c>
      <c r="AI60" s="146">
        <f>VLOOKUP(A60,AuxOPEXSaneparOriginal!$B$4:$AV$177,47,0)</f>
        <v>0</v>
      </c>
      <c r="AJ60" s="157">
        <f t="shared" si="159"/>
        <v>6632184.6799999997</v>
      </c>
      <c r="AK60" s="157">
        <f t="shared" si="54"/>
        <v>5959884.1300000008</v>
      </c>
      <c r="AL60" s="157">
        <f t="shared" si="55"/>
        <v>6251828.9450000003</v>
      </c>
      <c r="AM60" s="144"/>
      <c r="AN60" s="167">
        <f t="shared" si="160"/>
        <v>3490314.7499999995</v>
      </c>
      <c r="AO60" s="168">
        <f t="shared" si="161"/>
        <v>47450.05</v>
      </c>
      <c r="AP60" s="57">
        <f t="shared" si="162"/>
        <v>0</v>
      </c>
      <c r="AQ60" s="57">
        <f t="shared" si="163"/>
        <v>2986499.3700000024</v>
      </c>
      <c r="AR60" s="57">
        <f t="shared" si="164"/>
        <v>0</v>
      </c>
      <c r="AS60" s="57">
        <f t="shared" si="165"/>
        <v>9574.7099999999991</v>
      </c>
      <c r="AT60" s="57">
        <f t="shared" si="166"/>
        <v>0</v>
      </c>
      <c r="AU60" s="157">
        <f t="shared" si="167"/>
        <v>6533838.8800000018</v>
      </c>
      <c r="AV60" s="57">
        <f t="shared" si="168"/>
        <v>2557331.4399999985</v>
      </c>
      <c r="AW60" s="57">
        <f t="shared" si="169"/>
        <v>143133.30000000002</v>
      </c>
      <c r="AX60" s="57">
        <f t="shared" si="170"/>
        <v>0</v>
      </c>
      <c r="AY60" s="57">
        <f t="shared" si="171"/>
        <v>2094024.820000001</v>
      </c>
      <c r="AZ60" s="57">
        <f t="shared" si="172"/>
        <v>0</v>
      </c>
      <c r="BA60" s="57">
        <f t="shared" si="173"/>
        <v>7550.19</v>
      </c>
      <c r="BB60" s="57">
        <f t="shared" si="174"/>
        <v>0</v>
      </c>
      <c r="BC60" s="157">
        <f t="shared" si="175"/>
        <v>4802039.75</v>
      </c>
      <c r="BD60" s="57">
        <f t="shared" si="176"/>
        <v>2640913.2100000023</v>
      </c>
      <c r="BE60" s="57">
        <f t="shared" si="177"/>
        <v>289536.58999999997</v>
      </c>
      <c r="BF60" s="57">
        <f t="shared" si="178"/>
        <v>0</v>
      </c>
      <c r="BG60" s="57">
        <f t="shared" si="179"/>
        <v>2938008.9199999985</v>
      </c>
      <c r="BH60" s="57">
        <f t="shared" si="180"/>
        <v>0</v>
      </c>
      <c r="BI60" s="57">
        <f t="shared" si="181"/>
        <v>3014.49</v>
      </c>
      <c r="BJ60" s="57">
        <f t="shared" si="182"/>
        <v>0</v>
      </c>
      <c r="BK60" s="157">
        <f t="shared" si="183"/>
        <v>5871473.2100000009</v>
      </c>
      <c r="BL60" s="57">
        <f t="shared" si="111"/>
        <v>2714399.2499999995</v>
      </c>
      <c r="BM60" s="57">
        <f t="shared" si="112"/>
        <v>80415.069999999992</v>
      </c>
      <c r="BN60" s="57">
        <f t="shared" si="113"/>
        <v>0</v>
      </c>
      <c r="BO60" s="57">
        <f t="shared" si="114"/>
        <v>3807648.62</v>
      </c>
      <c r="BP60" s="57">
        <f t="shared" si="115"/>
        <v>0</v>
      </c>
      <c r="BQ60" s="57">
        <f t="shared" si="116"/>
        <v>29721.74</v>
      </c>
      <c r="BR60" s="57">
        <f t="shared" si="117"/>
        <v>0</v>
      </c>
      <c r="BS60" s="157">
        <f t="shared" si="184"/>
        <v>6632184.6799999997</v>
      </c>
      <c r="BT60" s="157">
        <f t="shared" si="73"/>
        <v>5959884.1300000008</v>
      </c>
      <c r="BU60" s="157">
        <f t="shared" si="74"/>
        <v>6251828.9450000003</v>
      </c>
      <c r="BV60" s="144"/>
      <c r="BW60" s="158">
        <f t="shared" si="185"/>
        <v>6533838.8800000018</v>
      </c>
      <c r="BX60" s="159">
        <f t="shared" si="186"/>
        <v>4802039.75</v>
      </c>
      <c r="BY60" s="159">
        <f t="shared" si="187"/>
        <v>5871473.2100000009</v>
      </c>
      <c r="BZ60" s="159">
        <f t="shared" si="188"/>
        <v>6632184.6799999997</v>
      </c>
      <c r="CA60" s="158">
        <f t="shared" si="189"/>
        <v>5959884.1300000008</v>
      </c>
      <c r="CB60" s="157">
        <f t="shared" si="190"/>
        <v>6202656.0450000018</v>
      </c>
      <c r="CC60" s="144"/>
      <c r="CD60" s="158">
        <f t="shared" si="191"/>
        <v>7422361.9082295531</v>
      </c>
      <c r="CE60" s="159">
        <f t="shared" si="192"/>
        <v>5242935.6682184255</v>
      </c>
      <c r="CF60" s="159">
        <f t="shared" si="193"/>
        <v>6207279.7901522098</v>
      </c>
      <c r="CG60" s="159">
        <f t="shared" si="194"/>
        <v>6632184.6799999997</v>
      </c>
      <c r="CH60" s="158">
        <f t="shared" si="195"/>
        <v>6376190.5116500473</v>
      </c>
      <c r="CI60" s="157">
        <f t="shared" si="196"/>
        <v>6419732.2350761052</v>
      </c>
      <c r="CK60" s="61">
        <f t="shared" si="197"/>
        <v>-0.29362974575447287</v>
      </c>
      <c r="CL60" s="62">
        <f t="shared" si="198"/>
        <v>0.18393209128607779</v>
      </c>
      <c r="CM60" s="63">
        <f t="shared" si="199"/>
        <v>6.8452672380242552E-2</v>
      </c>
      <c r="CN60" s="61">
        <f t="shared" si="200"/>
        <v>-0.10645900024808053</v>
      </c>
      <c r="CO60" s="29"/>
      <c r="CP60" s="61">
        <f t="shared" si="201"/>
        <v>3.1267798893026577E-3</v>
      </c>
      <c r="CQ60" s="62">
        <f t="shared" si="202"/>
        <v>2.2575306607160337E-3</v>
      </c>
      <c r="CR60" s="63">
        <f t="shared" si="203"/>
        <v>2.5777173022222405E-3</v>
      </c>
      <c r="CS60" s="61">
        <f t="shared" si="204"/>
        <v>2.7403078513831285E-3</v>
      </c>
      <c r="CU60" s="60">
        <f t="shared" si="86"/>
        <v>100</v>
      </c>
      <c r="CV60" s="132">
        <f t="shared" si="87"/>
        <v>70.637025424552718</v>
      </c>
      <c r="CW60" s="132">
        <f t="shared" si="88"/>
        <v>83.629441233118541</v>
      </c>
      <c r="CX60" s="131">
        <f t="shared" si="89"/>
        <v>89.354099975191943</v>
      </c>
    </row>
    <row r="61" spans="1:102">
      <c r="A61" s="29">
        <v>203</v>
      </c>
      <c r="B61" s="29" t="s">
        <v>3</v>
      </c>
      <c r="C61" s="55" t="s">
        <v>91</v>
      </c>
      <c r="D61" s="56">
        <v>0</v>
      </c>
      <c r="E61" s="57">
        <f>VLOOKUP(A61,AuxOPEXSaneparOriginal!$B$4:$F$177,3,0)</f>
        <v>0</v>
      </c>
      <c r="F61" s="156">
        <f>VLOOKUP(A61,AuxOPEXSaneparOriginal!$B$4:$F$177,4,0)</f>
        <v>0</v>
      </c>
      <c r="G61" s="57">
        <f>VLOOKUP(A61,AuxOPEXSaneparOriginal!$B$4:$K$177,8,0)</f>
        <v>0</v>
      </c>
      <c r="H61" s="156">
        <f>VLOOKUP(A61,AuxOPEXSaneparOriginal!$B$4:$K$177,9,0)</f>
        <v>0</v>
      </c>
      <c r="I61" s="57">
        <f>VLOOKUP(A61,AuxOPEXSaneparOriginal!$B$4:$N$177,13,0)</f>
        <v>153288.61999999997</v>
      </c>
      <c r="J61" s="57">
        <f>VLOOKUP(A61,AuxOPEXSaneparOriginal!$B$4:$Q$177,16,0)</f>
        <v>1670993.56</v>
      </c>
      <c r="K61" s="57">
        <f>VLOOKUP(A61,AuxOPEXSaneparOriginal!$B$4:$V$177,21,0)</f>
        <v>0</v>
      </c>
      <c r="L61" s="157">
        <f t="shared" si="156"/>
        <v>1824282.18</v>
      </c>
      <c r="M61" s="19">
        <f>VLOOKUP(A61,AuxOPEXSaneparOriginal!$B$4:$AB$177,27,0)</f>
        <v>0</v>
      </c>
      <c r="N61" s="156">
        <f>VLOOKUP(A61,AuxOPEXSaneparOriginal!$B$4:$AC$177,28,0)</f>
        <v>0</v>
      </c>
      <c r="O61" s="156">
        <f>VLOOKUP(A61,AuxOPEXSaneparOriginal!$B$4:$AD$177,29,0)</f>
        <v>0</v>
      </c>
      <c r="P61" s="156">
        <f>VLOOKUP(A61,AuxOPEXSaneparOriginal!$B$4:$AE$177,30,0)</f>
        <v>0</v>
      </c>
      <c r="Q61" s="146">
        <f>VLOOKUP(A61,AuxOPEXSaneparOriginal!$B$4:$AF$177,31,0)</f>
        <v>165014</v>
      </c>
      <c r="R61" s="146">
        <f>VLOOKUP(A61,AuxOPEXSaneparOriginal!$B$4:$AG$177,32,0)</f>
        <v>1126663.94</v>
      </c>
      <c r="S61" s="146">
        <f>VLOOKUP(A61,AuxOPEXSaneparOriginal!$B$4:$AH$177,33,0)</f>
        <v>0</v>
      </c>
      <c r="T61" s="157">
        <f t="shared" si="157"/>
        <v>1291677.94</v>
      </c>
      <c r="U61" s="156">
        <f>VLOOKUP(A61,AuxOPEXSaneparOriginal!$B$4:$AI$177,34,0)</f>
        <v>0</v>
      </c>
      <c r="V61" s="156">
        <f>VLOOKUP(A61,AuxOPEXSaneparOriginal!$B$4:$AJ$177,35,0)</f>
        <v>0</v>
      </c>
      <c r="W61" s="156">
        <f>VLOOKUP(A61,AuxOPEXSaneparOriginal!$B$4:$AK$177,36,0)</f>
        <v>0</v>
      </c>
      <c r="X61" s="19">
        <f>+VLOOKUP(A61,AuxOPEXSaneparOriginal!$B$4:$AL$177,37,0)</f>
        <v>0</v>
      </c>
      <c r="Y61" s="146">
        <f>VLOOKUP(A61,AuxOPEXSaneparOriginal!$B$4:$AM$177,38,0)</f>
        <v>221775.77999999994</v>
      </c>
      <c r="Z61" s="146">
        <f>VLOOKUP(A61,AuxOPEXSaneparOriginal!$B$4:$AN$177,39,0)</f>
        <v>3584074.33</v>
      </c>
      <c r="AA61" s="146">
        <f>VLOOKUP(A61,AuxOPEXSaneparOriginal!$B$4:$AO$177,40,0)</f>
        <v>0</v>
      </c>
      <c r="AB61" s="157">
        <f t="shared" si="158"/>
        <v>3805850.11</v>
      </c>
      <c r="AC61" s="156">
        <f>VLOOKUP(A61,AuxOPEXSaneparOriginal!$B$4:$AP$177,41,0)</f>
        <v>0</v>
      </c>
      <c r="AD61" s="156">
        <f>+VLOOKUP(A61,AuxOPEXSaneparOriginal!$B$4:$AQ$177,42,0)</f>
        <v>0</v>
      </c>
      <c r="AE61" s="156">
        <f>VLOOKUP(A61,AuxOPEXSaneparOriginal!$B$4:$AR$177,43,0)</f>
        <v>0</v>
      </c>
      <c r="AF61" s="156">
        <f>+VLOOKUP(A61,AuxOPEXSaneparOriginal!$B$4:$AS$177,44,0)</f>
        <v>0</v>
      </c>
      <c r="AG61" s="146">
        <f>VLOOKUP(A61,AuxOPEXSaneparOriginal!$B$4:$AT$177,45,0)</f>
        <v>83420.67</v>
      </c>
      <c r="AH61" s="146">
        <f>VLOOKUP(A61,AuxOPEXSaneparOriginal!$B$4:$AU$177,46,0)</f>
        <v>1051716.8400000003</v>
      </c>
      <c r="AI61" s="146">
        <f>VLOOKUP(A61,AuxOPEXSaneparOriginal!$B$4:$AV$177,47,0)</f>
        <v>0</v>
      </c>
      <c r="AJ61" s="157">
        <f t="shared" si="159"/>
        <v>1135137.5100000002</v>
      </c>
      <c r="AK61" s="157">
        <f t="shared" si="54"/>
        <v>2014236.9350000001</v>
      </c>
      <c r="AL61" s="157">
        <f t="shared" si="55"/>
        <v>2470493.81</v>
      </c>
      <c r="AM61" s="144"/>
      <c r="AN61" s="167">
        <f t="shared" si="160"/>
        <v>0</v>
      </c>
      <c r="AO61" s="168">
        <f t="shared" si="161"/>
        <v>0</v>
      </c>
      <c r="AP61" s="57">
        <f t="shared" si="162"/>
        <v>0</v>
      </c>
      <c r="AQ61" s="57">
        <f t="shared" si="163"/>
        <v>0</v>
      </c>
      <c r="AR61" s="57">
        <f t="shared" si="164"/>
        <v>153288.61999999997</v>
      </c>
      <c r="AS61" s="57">
        <f t="shared" si="165"/>
        <v>1670993.56</v>
      </c>
      <c r="AT61" s="57">
        <f t="shared" si="166"/>
        <v>0</v>
      </c>
      <c r="AU61" s="157">
        <f t="shared" si="167"/>
        <v>1824282.18</v>
      </c>
      <c r="AV61" s="57">
        <f t="shared" si="168"/>
        <v>0</v>
      </c>
      <c r="AW61" s="57">
        <f t="shared" si="169"/>
        <v>0</v>
      </c>
      <c r="AX61" s="57">
        <f t="shared" si="170"/>
        <v>0</v>
      </c>
      <c r="AY61" s="57">
        <f t="shared" si="171"/>
        <v>0</v>
      </c>
      <c r="AZ61" s="57">
        <f t="shared" si="172"/>
        <v>165014</v>
      </c>
      <c r="BA61" s="57">
        <f t="shared" si="173"/>
        <v>1126663.94</v>
      </c>
      <c r="BB61" s="57">
        <f t="shared" si="174"/>
        <v>0</v>
      </c>
      <c r="BC61" s="157">
        <f t="shared" si="175"/>
        <v>1291677.94</v>
      </c>
      <c r="BD61" s="57">
        <f t="shared" si="176"/>
        <v>0</v>
      </c>
      <c r="BE61" s="57">
        <f t="shared" si="177"/>
        <v>0</v>
      </c>
      <c r="BF61" s="57">
        <f t="shared" si="178"/>
        <v>0</v>
      </c>
      <c r="BG61" s="57">
        <f t="shared" si="179"/>
        <v>0</v>
      </c>
      <c r="BH61" s="57">
        <f t="shared" si="180"/>
        <v>221775.77999999994</v>
      </c>
      <c r="BI61" s="57">
        <f t="shared" si="181"/>
        <v>3584074.33</v>
      </c>
      <c r="BJ61" s="57">
        <f t="shared" si="182"/>
        <v>0</v>
      </c>
      <c r="BK61" s="157">
        <f t="shared" si="183"/>
        <v>3805850.11</v>
      </c>
      <c r="BL61" s="57">
        <f t="shared" si="111"/>
        <v>0</v>
      </c>
      <c r="BM61" s="57">
        <f t="shared" si="112"/>
        <v>0</v>
      </c>
      <c r="BN61" s="57">
        <f t="shared" si="113"/>
        <v>0</v>
      </c>
      <c r="BO61" s="57">
        <f t="shared" si="114"/>
        <v>0</v>
      </c>
      <c r="BP61" s="57">
        <f t="shared" si="115"/>
        <v>83420.67</v>
      </c>
      <c r="BQ61" s="57">
        <f t="shared" si="116"/>
        <v>1051716.8400000003</v>
      </c>
      <c r="BR61" s="57">
        <f t="shared" si="117"/>
        <v>0</v>
      </c>
      <c r="BS61" s="157">
        <f t="shared" si="184"/>
        <v>1135137.5100000002</v>
      </c>
      <c r="BT61" s="157">
        <f t="shared" si="73"/>
        <v>2014236.9350000001</v>
      </c>
      <c r="BU61" s="157">
        <f t="shared" si="74"/>
        <v>2470493.81</v>
      </c>
      <c r="BV61" s="144"/>
      <c r="BW61" s="158">
        <f t="shared" si="185"/>
        <v>1824282.18</v>
      </c>
      <c r="BX61" s="159">
        <f t="shared" si="186"/>
        <v>1291677.94</v>
      </c>
      <c r="BY61" s="159">
        <f t="shared" si="187"/>
        <v>3805850.11</v>
      </c>
      <c r="BZ61" s="159">
        <f t="shared" si="188"/>
        <v>1135137.5100000002</v>
      </c>
      <c r="CA61" s="158">
        <f t="shared" si="189"/>
        <v>2014236.9350000001</v>
      </c>
      <c r="CB61" s="157">
        <f t="shared" si="190"/>
        <v>1557980.06</v>
      </c>
      <c r="CC61" s="144"/>
      <c r="CD61" s="158">
        <f t="shared" si="191"/>
        <v>2072362.4826656219</v>
      </c>
      <c r="CE61" s="159">
        <f t="shared" si="192"/>
        <v>1410272.4458865419</v>
      </c>
      <c r="CF61" s="159">
        <f t="shared" si="193"/>
        <v>4023517.7147562187</v>
      </c>
      <c r="CG61" s="159">
        <f t="shared" si="194"/>
        <v>1135137.5100000002</v>
      </c>
      <c r="CH61" s="158">
        <f t="shared" si="195"/>
        <v>2160322.5383270956</v>
      </c>
      <c r="CI61" s="157">
        <f t="shared" si="196"/>
        <v>1741317.4642760819</v>
      </c>
      <c r="CK61" s="61">
        <f t="shared" si="197"/>
        <v>-0.31948563164850008</v>
      </c>
      <c r="CL61" s="62">
        <f t="shared" si="198"/>
        <v>1.8530073933529265</v>
      </c>
      <c r="CM61" s="63">
        <f t="shared" si="199"/>
        <v>-0.71787436008125605</v>
      </c>
      <c r="CN61" s="61">
        <f t="shared" si="200"/>
        <v>-0.45224953670271784</v>
      </c>
      <c r="CO61" s="29"/>
      <c r="CP61" s="61">
        <f t="shared" si="201"/>
        <v>8.7301339038179792E-4</v>
      </c>
      <c r="CQ61" s="62">
        <f t="shared" si="202"/>
        <v>6.0724248551264595E-4</v>
      </c>
      <c r="CR61" s="63">
        <f t="shared" si="203"/>
        <v>1.6708593103180343E-3</v>
      </c>
      <c r="CS61" s="61">
        <f t="shared" si="204"/>
        <v>4.6901984506446154E-4</v>
      </c>
      <c r="CU61" s="60">
        <f t="shared" si="86"/>
        <v>100</v>
      </c>
      <c r="CV61" s="132">
        <f t="shared" si="87"/>
        <v>68.051436835149985</v>
      </c>
      <c r="CW61" s="132">
        <f t="shared" si="88"/>
        <v>194.1512524189726</v>
      </c>
      <c r="CX61" s="131">
        <f t="shared" si="89"/>
        <v>54.77504632972822</v>
      </c>
    </row>
    <row r="62" spans="1:102">
      <c r="A62" s="29">
        <v>204</v>
      </c>
      <c r="B62" s="29" t="s">
        <v>3</v>
      </c>
      <c r="C62" s="55" t="s">
        <v>92</v>
      </c>
      <c r="D62" s="56">
        <v>0</v>
      </c>
      <c r="E62" s="57">
        <f>VLOOKUP(A62,AuxOPEXSaneparOriginal!$B$4:$F$177,3,0)</f>
        <v>105711.93000000004</v>
      </c>
      <c r="F62" s="156">
        <f>VLOOKUP(A62,AuxOPEXSaneparOriginal!$B$4:$F$177,4,0)</f>
        <v>10298.870000000003</v>
      </c>
      <c r="G62" s="57">
        <f>VLOOKUP(A62,AuxOPEXSaneparOriginal!$B$4:$K$177,8,0)</f>
        <v>1589.7299999999998</v>
      </c>
      <c r="H62" s="156">
        <f>VLOOKUP(A62,AuxOPEXSaneparOriginal!$B$4:$K$177,9,0)</f>
        <v>71671.360000000015</v>
      </c>
      <c r="I62" s="57">
        <f>VLOOKUP(A62,AuxOPEXSaneparOriginal!$B$4:$N$177,13,0)</f>
        <v>19082.719999999998</v>
      </c>
      <c r="J62" s="57">
        <f>VLOOKUP(A62,AuxOPEXSaneparOriginal!$B$4:$Q$177,16,0)</f>
        <v>917387.76</v>
      </c>
      <c r="K62" s="57">
        <f>VLOOKUP(A62,AuxOPEXSaneparOriginal!$B$4:$V$177,21,0)</f>
        <v>0</v>
      </c>
      <c r="L62" s="157">
        <f t="shared" si="156"/>
        <v>1125742.3700000001</v>
      </c>
      <c r="M62" s="19">
        <f>VLOOKUP(A62,AuxOPEXSaneparOriginal!$B$4:$AB$177,27,0)</f>
        <v>122709.45</v>
      </c>
      <c r="N62" s="156">
        <f>VLOOKUP(A62,AuxOPEXSaneparOriginal!$B$4:$AC$177,28,0)</f>
        <v>7919.4800000000005</v>
      </c>
      <c r="O62" s="156">
        <f>VLOOKUP(A62,AuxOPEXSaneparOriginal!$B$4:$AD$177,29,0)</f>
        <v>5713.8399999999992</v>
      </c>
      <c r="P62" s="156">
        <f>VLOOKUP(A62,AuxOPEXSaneparOriginal!$B$4:$AE$177,30,0)</f>
        <v>72831.08</v>
      </c>
      <c r="Q62" s="146">
        <f>VLOOKUP(A62,AuxOPEXSaneparOriginal!$B$4:$AF$177,31,0)</f>
        <v>28040.950000000004</v>
      </c>
      <c r="R62" s="146">
        <f>VLOOKUP(A62,AuxOPEXSaneparOriginal!$B$4:$AG$177,32,0)</f>
        <v>923695.15000000049</v>
      </c>
      <c r="S62" s="146">
        <f>VLOOKUP(A62,AuxOPEXSaneparOriginal!$B$4:$AH$177,33,0)</f>
        <v>0</v>
      </c>
      <c r="T62" s="157">
        <f t="shared" si="157"/>
        <v>1160909.9500000004</v>
      </c>
      <c r="U62" s="156">
        <f>VLOOKUP(A62,AuxOPEXSaneparOriginal!$B$4:$AI$177,34,0)</f>
        <v>122714.20999999998</v>
      </c>
      <c r="V62" s="156">
        <f>VLOOKUP(A62,AuxOPEXSaneparOriginal!$B$4:$AJ$177,35,0)</f>
        <v>10497.380000000001</v>
      </c>
      <c r="W62" s="156">
        <f>VLOOKUP(A62,AuxOPEXSaneparOriginal!$B$4:$AK$177,36,0)</f>
        <v>22</v>
      </c>
      <c r="X62" s="19">
        <f>+VLOOKUP(A62,AuxOPEXSaneparOriginal!$B$4:$AL$177,37,0)</f>
        <v>83348.820000000036</v>
      </c>
      <c r="Y62" s="146">
        <f>VLOOKUP(A62,AuxOPEXSaneparOriginal!$B$4:$AM$177,38,0)</f>
        <v>18886.279999999992</v>
      </c>
      <c r="Z62" s="146">
        <f>VLOOKUP(A62,AuxOPEXSaneparOriginal!$B$4:$AN$177,39,0)</f>
        <v>957126.83000000031</v>
      </c>
      <c r="AA62" s="146">
        <f>VLOOKUP(A62,AuxOPEXSaneparOriginal!$B$4:$AO$177,40,0)</f>
        <v>0</v>
      </c>
      <c r="AB62" s="157">
        <f t="shared" si="158"/>
        <v>1192595.5200000003</v>
      </c>
      <c r="AC62" s="156">
        <f>VLOOKUP(A62,AuxOPEXSaneparOriginal!$B$4:$AP$177,41,0)</f>
        <v>111744.55000000005</v>
      </c>
      <c r="AD62" s="156">
        <f>+VLOOKUP(A62,AuxOPEXSaneparOriginal!$B$4:$AQ$177,42,0)</f>
        <v>16416.439999999999</v>
      </c>
      <c r="AE62" s="156">
        <f>VLOOKUP(A62,AuxOPEXSaneparOriginal!$B$4:$AR$177,43,0)</f>
        <v>3706.45</v>
      </c>
      <c r="AF62" s="156">
        <f>+VLOOKUP(A62,AuxOPEXSaneparOriginal!$B$4:$AS$177,44,0)</f>
        <v>109346.31999999999</v>
      </c>
      <c r="AG62" s="146">
        <f>VLOOKUP(A62,AuxOPEXSaneparOriginal!$B$4:$AT$177,45,0)</f>
        <v>24074.149999999998</v>
      </c>
      <c r="AH62" s="146">
        <f>VLOOKUP(A62,AuxOPEXSaneparOriginal!$B$4:$AU$177,46,0)</f>
        <v>1011924.6799999999</v>
      </c>
      <c r="AI62" s="146">
        <f>VLOOKUP(A62,AuxOPEXSaneparOriginal!$B$4:$AV$177,47,0)</f>
        <v>0</v>
      </c>
      <c r="AJ62" s="157">
        <f t="shared" si="159"/>
        <v>1277212.5900000001</v>
      </c>
      <c r="AK62" s="157">
        <f t="shared" si="54"/>
        <v>1189115.1075000002</v>
      </c>
      <c r="AL62" s="157">
        <f t="shared" si="55"/>
        <v>1234904.0550000002</v>
      </c>
      <c r="AM62" s="144"/>
      <c r="AN62" s="167">
        <f t="shared" si="160"/>
        <v>105711.93000000004</v>
      </c>
      <c r="AO62" s="168">
        <f t="shared" si="161"/>
        <v>10298.870000000003</v>
      </c>
      <c r="AP62" s="57">
        <f t="shared" si="162"/>
        <v>1589.7299999999998</v>
      </c>
      <c r="AQ62" s="57">
        <f t="shared" si="163"/>
        <v>71671.360000000015</v>
      </c>
      <c r="AR62" s="57">
        <f t="shared" si="164"/>
        <v>19082.719999999998</v>
      </c>
      <c r="AS62" s="57">
        <f t="shared" si="165"/>
        <v>917387.76</v>
      </c>
      <c r="AT62" s="57">
        <f t="shared" si="166"/>
        <v>0</v>
      </c>
      <c r="AU62" s="157">
        <f t="shared" si="167"/>
        <v>1125742.3700000001</v>
      </c>
      <c r="AV62" s="57">
        <f t="shared" si="168"/>
        <v>122709.45</v>
      </c>
      <c r="AW62" s="57">
        <f t="shared" si="169"/>
        <v>7919.4800000000005</v>
      </c>
      <c r="AX62" s="57">
        <f t="shared" si="170"/>
        <v>5713.8399999999992</v>
      </c>
      <c r="AY62" s="57">
        <f t="shared" si="171"/>
        <v>72831.08</v>
      </c>
      <c r="AZ62" s="57">
        <f t="shared" si="172"/>
        <v>28040.950000000004</v>
      </c>
      <c r="BA62" s="57">
        <f t="shared" si="173"/>
        <v>923695.15000000049</v>
      </c>
      <c r="BB62" s="57">
        <f t="shared" si="174"/>
        <v>0</v>
      </c>
      <c r="BC62" s="157">
        <f t="shared" si="175"/>
        <v>1160909.9500000004</v>
      </c>
      <c r="BD62" s="57">
        <f t="shared" si="176"/>
        <v>122714.20999999998</v>
      </c>
      <c r="BE62" s="57">
        <f t="shared" si="177"/>
        <v>10497.380000000001</v>
      </c>
      <c r="BF62" s="57">
        <f t="shared" si="178"/>
        <v>22</v>
      </c>
      <c r="BG62" s="57">
        <f t="shared" si="179"/>
        <v>83348.820000000036</v>
      </c>
      <c r="BH62" s="57">
        <f t="shared" si="180"/>
        <v>18886.279999999992</v>
      </c>
      <c r="BI62" s="57">
        <f t="shared" si="181"/>
        <v>957126.83000000031</v>
      </c>
      <c r="BJ62" s="57">
        <f t="shared" si="182"/>
        <v>0</v>
      </c>
      <c r="BK62" s="157">
        <f t="shared" si="183"/>
        <v>1192595.5200000003</v>
      </c>
      <c r="BL62" s="57">
        <f t="shared" si="111"/>
        <v>111744.55000000005</v>
      </c>
      <c r="BM62" s="57">
        <f t="shared" si="112"/>
        <v>16416.439999999999</v>
      </c>
      <c r="BN62" s="57">
        <f t="shared" si="113"/>
        <v>3706.45</v>
      </c>
      <c r="BO62" s="57">
        <f t="shared" si="114"/>
        <v>109346.31999999999</v>
      </c>
      <c r="BP62" s="57">
        <f t="shared" si="115"/>
        <v>24074.149999999998</v>
      </c>
      <c r="BQ62" s="57">
        <f t="shared" si="116"/>
        <v>1011924.6799999999</v>
      </c>
      <c r="BR62" s="57">
        <f t="shared" si="117"/>
        <v>0</v>
      </c>
      <c r="BS62" s="157">
        <f t="shared" si="184"/>
        <v>1277212.5900000001</v>
      </c>
      <c r="BT62" s="157">
        <f t="shared" si="73"/>
        <v>1189115.1075000002</v>
      </c>
      <c r="BU62" s="157">
        <f t="shared" si="74"/>
        <v>1234904.0550000002</v>
      </c>
      <c r="BV62" s="144"/>
      <c r="BW62" s="158">
        <f t="shared" si="185"/>
        <v>1125742.3700000001</v>
      </c>
      <c r="BX62" s="159">
        <f t="shared" si="186"/>
        <v>1160909.9500000004</v>
      </c>
      <c r="BY62" s="159">
        <f t="shared" si="187"/>
        <v>1192595.5200000003</v>
      </c>
      <c r="BZ62" s="159">
        <f t="shared" si="188"/>
        <v>1277212.5900000001</v>
      </c>
      <c r="CA62" s="158">
        <f t="shared" si="189"/>
        <v>1189115.1075000002</v>
      </c>
      <c r="CB62" s="157">
        <f t="shared" si="190"/>
        <v>1176752.7350000003</v>
      </c>
      <c r="CC62" s="144"/>
      <c r="CD62" s="158">
        <f t="shared" si="191"/>
        <v>1278829.710837323</v>
      </c>
      <c r="CE62" s="159">
        <f t="shared" si="192"/>
        <v>1267498.0844222854</v>
      </c>
      <c r="CF62" s="159">
        <f t="shared" si="193"/>
        <v>1260803.5163158083</v>
      </c>
      <c r="CG62" s="159">
        <f t="shared" si="194"/>
        <v>1277212.5900000001</v>
      </c>
      <c r="CH62" s="158">
        <f t="shared" si="195"/>
        <v>1271085.9753938541</v>
      </c>
      <c r="CI62" s="157">
        <f t="shared" si="196"/>
        <v>1272355.3372111428</v>
      </c>
      <c r="CK62" s="61">
        <f t="shared" si="197"/>
        <v>-8.8609345865275913E-3</v>
      </c>
      <c r="CL62" s="62">
        <f t="shared" si="198"/>
        <v>-5.2817185199364181E-3</v>
      </c>
      <c r="CM62" s="63">
        <f t="shared" si="199"/>
        <v>1.3014774682847285E-2</v>
      </c>
      <c r="CN62" s="61">
        <f t="shared" si="200"/>
        <v>-1.2645318009261164E-3</v>
      </c>
      <c r="CO62" s="29"/>
      <c r="CP62" s="61">
        <f t="shared" si="201"/>
        <v>5.3872595692961301E-4</v>
      </c>
      <c r="CQ62" s="62">
        <f t="shared" si="202"/>
        <v>5.4576595423961628E-4</v>
      </c>
      <c r="CR62" s="63">
        <f t="shared" si="203"/>
        <v>5.2357798400935393E-4</v>
      </c>
      <c r="CS62" s="61">
        <f t="shared" si="204"/>
        <v>5.2772289330495258E-4</v>
      </c>
      <c r="CU62" s="60">
        <f t="shared" si="86"/>
        <v>100</v>
      </c>
      <c r="CV62" s="132">
        <f t="shared" si="87"/>
        <v>99.113906541347234</v>
      </c>
      <c r="CW62" s="132">
        <f t="shared" si="88"/>
        <v>98.590414785584557</v>
      </c>
      <c r="CX62" s="131">
        <f t="shared" si="89"/>
        <v>99.873546819907389</v>
      </c>
    </row>
    <row r="63" spans="1:102">
      <c r="A63" s="29">
        <v>205</v>
      </c>
      <c r="B63" s="29" t="s">
        <v>3</v>
      </c>
      <c r="C63" s="55" t="s">
        <v>93</v>
      </c>
      <c r="D63" s="56">
        <v>0</v>
      </c>
      <c r="E63" s="57">
        <f>VLOOKUP(A63,AuxOPEXSaneparOriginal!$B$4:$F$177,3,0)</f>
        <v>0</v>
      </c>
      <c r="F63" s="156">
        <f>VLOOKUP(A63,AuxOPEXSaneparOriginal!$B$4:$F$177,4,0)</f>
        <v>0</v>
      </c>
      <c r="G63" s="57">
        <f>VLOOKUP(A63,AuxOPEXSaneparOriginal!$B$4:$K$177,8,0)</f>
        <v>0</v>
      </c>
      <c r="H63" s="156">
        <f>VLOOKUP(A63,AuxOPEXSaneparOriginal!$B$4:$K$177,9,0)</f>
        <v>0</v>
      </c>
      <c r="I63" s="57">
        <f>VLOOKUP(A63,AuxOPEXSaneparOriginal!$B$4:$N$177,13,0)</f>
        <v>0</v>
      </c>
      <c r="J63" s="57">
        <f>VLOOKUP(A63,AuxOPEXSaneparOriginal!$B$4:$Q$177,16,0)</f>
        <v>15130123.789999999</v>
      </c>
      <c r="K63" s="57">
        <f>VLOOKUP(A63,AuxOPEXSaneparOriginal!$B$4:$V$177,21,0)</f>
        <v>0</v>
      </c>
      <c r="L63" s="157">
        <f t="shared" si="156"/>
        <v>15130123.789999999</v>
      </c>
      <c r="M63" s="19">
        <f>VLOOKUP(A63,AuxOPEXSaneparOriginal!$B$4:$AB$177,27,0)</f>
        <v>0</v>
      </c>
      <c r="N63" s="156">
        <f>VLOOKUP(A63,AuxOPEXSaneparOriginal!$B$4:$AC$177,28,0)</f>
        <v>0</v>
      </c>
      <c r="O63" s="156">
        <f>VLOOKUP(A63,AuxOPEXSaneparOriginal!$B$4:$AD$177,29,0)</f>
        <v>0</v>
      </c>
      <c r="P63" s="156">
        <f>VLOOKUP(A63,AuxOPEXSaneparOriginal!$B$4:$AE$177,30,0)</f>
        <v>0</v>
      </c>
      <c r="Q63" s="146">
        <f>VLOOKUP(A63,AuxOPEXSaneparOriginal!$B$4:$AF$177,31,0)</f>
        <v>0</v>
      </c>
      <c r="R63" s="146">
        <f>VLOOKUP(A63,AuxOPEXSaneparOriginal!$B$4:$AG$177,32,0)</f>
        <v>16552288.52</v>
      </c>
      <c r="S63" s="146">
        <f>VLOOKUP(A63,AuxOPEXSaneparOriginal!$B$4:$AH$177,33,0)</f>
        <v>0</v>
      </c>
      <c r="T63" s="157">
        <f t="shared" si="157"/>
        <v>16552288.52</v>
      </c>
      <c r="U63" s="156">
        <f>VLOOKUP(A63,AuxOPEXSaneparOriginal!$B$4:$AI$177,34,0)</f>
        <v>0</v>
      </c>
      <c r="V63" s="156">
        <f>VLOOKUP(A63,AuxOPEXSaneparOriginal!$B$4:$AJ$177,35,0)</f>
        <v>0</v>
      </c>
      <c r="W63" s="156">
        <f>VLOOKUP(A63,AuxOPEXSaneparOriginal!$B$4:$AK$177,36,0)</f>
        <v>0</v>
      </c>
      <c r="X63" s="19">
        <f>+VLOOKUP(A63,AuxOPEXSaneparOriginal!$B$4:$AL$177,37,0)</f>
        <v>0</v>
      </c>
      <c r="Y63" s="146">
        <f>VLOOKUP(A63,AuxOPEXSaneparOriginal!$B$4:$AM$177,38,0)</f>
        <v>0</v>
      </c>
      <c r="Z63" s="146">
        <f>VLOOKUP(A63,AuxOPEXSaneparOriginal!$B$4:$AN$177,39,0)</f>
        <v>22942791.920000002</v>
      </c>
      <c r="AA63" s="146">
        <f>VLOOKUP(A63,AuxOPEXSaneparOriginal!$B$4:$AO$177,40,0)</f>
        <v>0</v>
      </c>
      <c r="AB63" s="157">
        <f t="shared" si="158"/>
        <v>22942791.920000002</v>
      </c>
      <c r="AC63" s="156">
        <f>VLOOKUP(A63,AuxOPEXSaneparOriginal!$B$4:$AP$177,41,0)</f>
        <v>0</v>
      </c>
      <c r="AD63" s="156">
        <f>+VLOOKUP(A63,AuxOPEXSaneparOriginal!$B$4:$AQ$177,42,0)</f>
        <v>0</v>
      </c>
      <c r="AE63" s="156">
        <f>VLOOKUP(A63,AuxOPEXSaneparOriginal!$B$4:$AR$177,43,0)</f>
        <v>0</v>
      </c>
      <c r="AF63" s="156">
        <f>+VLOOKUP(A63,AuxOPEXSaneparOriginal!$B$4:$AS$177,44,0)</f>
        <v>0</v>
      </c>
      <c r="AG63" s="146">
        <f>VLOOKUP(A63,AuxOPEXSaneparOriginal!$B$4:$AT$177,45,0)</f>
        <v>0</v>
      </c>
      <c r="AH63" s="146">
        <f>VLOOKUP(A63,AuxOPEXSaneparOriginal!$B$4:$AU$177,46,0)</f>
        <v>18107906.079999998</v>
      </c>
      <c r="AI63" s="146">
        <f>VLOOKUP(A63,AuxOPEXSaneparOriginal!$B$4:$AV$177,47,0)</f>
        <v>0</v>
      </c>
      <c r="AJ63" s="157">
        <f t="shared" si="159"/>
        <v>18107906.079999998</v>
      </c>
      <c r="AK63" s="157">
        <f t="shared" si="54"/>
        <v>18183277.577500001</v>
      </c>
      <c r="AL63" s="157">
        <f t="shared" si="55"/>
        <v>20525349</v>
      </c>
      <c r="AM63" s="144"/>
      <c r="AN63" s="167">
        <f t="shared" si="160"/>
        <v>0</v>
      </c>
      <c r="AO63" s="168">
        <f t="shared" si="161"/>
        <v>0</v>
      </c>
      <c r="AP63" s="57">
        <f t="shared" si="162"/>
        <v>0</v>
      </c>
      <c r="AQ63" s="57">
        <f t="shared" si="163"/>
        <v>0</v>
      </c>
      <c r="AR63" s="57">
        <f t="shared" si="164"/>
        <v>0</v>
      </c>
      <c r="AS63" s="57">
        <f t="shared" si="165"/>
        <v>15130123.789999999</v>
      </c>
      <c r="AT63" s="57">
        <f t="shared" si="166"/>
        <v>0</v>
      </c>
      <c r="AU63" s="157">
        <f t="shared" si="167"/>
        <v>15130123.789999999</v>
      </c>
      <c r="AV63" s="57">
        <f t="shared" si="168"/>
        <v>0</v>
      </c>
      <c r="AW63" s="57">
        <f t="shared" si="169"/>
        <v>0</v>
      </c>
      <c r="AX63" s="57">
        <f t="shared" si="170"/>
        <v>0</v>
      </c>
      <c r="AY63" s="57">
        <f t="shared" si="171"/>
        <v>0</v>
      </c>
      <c r="AZ63" s="57">
        <f t="shared" si="172"/>
        <v>0</v>
      </c>
      <c r="BA63" s="57">
        <f t="shared" si="173"/>
        <v>16552288.52</v>
      </c>
      <c r="BB63" s="57">
        <f t="shared" si="174"/>
        <v>0</v>
      </c>
      <c r="BC63" s="157">
        <f t="shared" si="175"/>
        <v>16552288.52</v>
      </c>
      <c r="BD63" s="57">
        <f t="shared" si="176"/>
        <v>0</v>
      </c>
      <c r="BE63" s="57">
        <f t="shared" si="177"/>
        <v>0</v>
      </c>
      <c r="BF63" s="57">
        <f t="shared" si="178"/>
        <v>0</v>
      </c>
      <c r="BG63" s="57">
        <f t="shared" si="179"/>
        <v>0</v>
      </c>
      <c r="BH63" s="57">
        <f t="shared" si="180"/>
        <v>0</v>
      </c>
      <c r="BI63" s="57">
        <f t="shared" si="181"/>
        <v>22942791.920000002</v>
      </c>
      <c r="BJ63" s="57">
        <f t="shared" si="182"/>
        <v>0</v>
      </c>
      <c r="BK63" s="157">
        <f t="shared" si="183"/>
        <v>22942791.920000002</v>
      </c>
      <c r="BL63" s="57">
        <f t="shared" si="111"/>
        <v>0</v>
      </c>
      <c r="BM63" s="57">
        <f t="shared" si="112"/>
        <v>0</v>
      </c>
      <c r="BN63" s="57">
        <f t="shared" si="113"/>
        <v>0</v>
      </c>
      <c r="BO63" s="57">
        <f t="shared" si="114"/>
        <v>0</v>
      </c>
      <c r="BP63" s="57">
        <f t="shared" si="115"/>
        <v>0</v>
      </c>
      <c r="BQ63" s="57">
        <f t="shared" si="116"/>
        <v>18107906.079999998</v>
      </c>
      <c r="BR63" s="57">
        <f t="shared" si="117"/>
        <v>0</v>
      </c>
      <c r="BS63" s="157">
        <f t="shared" si="184"/>
        <v>18107906.079999998</v>
      </c>
      <c r="BT63" s="157">
        <f t="shared" si="73"/>
        <v>18183277.577500001</v>
      </c>
      <c r="BU63" s="157">
        <f t="shared" si="74"/>
        <v>20525349</v>
      </c>
      <c r="BV63" s="144"/>
      <c r="BW63" s="158">
        <f t="shared" si="185"/>
        <v>15130123.789999999</v>
      </c>
      <c r="BX63" s="159">
        <f t="shared" si="186"/>
        <v>16552288.52</v>
      </c>
      <c r="BY63" s="159">
        <f t="shared" si="187"/>
        <v>22942791.920000002</v>
      </c>
      <c r="BZ63" s="159">
        <f t="shared" si="188"/>
        <v>18107906.079999998</v>
      </c>
      <c r="CA63" s="158">
        <f t="shared" si="189"/>
        <v>18183277.577500001</v>
      </c>
      <c r="CB63" s="157">
        <f t="shared" si="190"/>
        <v>17330097.299999997</v>
      </c>
      <c r="CC63" s="144"/>
      <c r="CD63" s="158">
        <f t="shared" si="191"/>
        <v>17187637.550942138</v>
      </c>
      <c r="CE63" s="159">
        <f t="shared" si="192"/>
        <v>18072025.303861834</v>
      </c>
      <c r="CF63" s="159">
        <f t="shared" si="193"/>
        <v>24254956.72400137</v>
      </c>
      <c r="CG63" s="159">
        <f t="shared" si="194"/>
        <v>18107906.079999998</v>
      </c>
      <c r="CH63" s="158">
        <f t="shared" si="195"/>
        <v>19405631.414701335</v>
      </c>
      <c r="CI63" s="157">
        <f t="shared" si="196"/>
        <v>18089965.691930916</v>
      </c>
      <c r="CK63" s="61">
        <f t="shared" si="197"/>
        <v>5.1454875651087972E-2</v>
      </c>
      <c r="CL63" s="62">
        <f t="shared" si="198"/>
        <v>0.34212720025454457</v>
      </c>
      <c r="CM63" s="63">
        <f t="shared" si="199"/>
        <v>-0.25343482216641466</v>
      </c>
      <c r="CN63" s="61">
        <f t="shared" si="200"/>
        <v>5.3542467737657029E-2</v>
      </c>
      <c r="CO63" s="29"/>
      <c r="CP63" s="61">
        <f t="shared" si="201"/>
        <v>7.2405468910539906E-3</v>
      </c>
      <c r="CQ63" s="62">
        <f t="shared" si="202"/>
        <v>7.7815471725151825E-3</v>
      </c>
      <c r="CR63" s="63">
        <f t="shared" si="203"/>
        <v>1.0072434903176303E-2</v>
      </c>
      <c r="CS63" s="61">
        <f t="shared" si="204"/>
        <v>7.4818841147126034E-3</v>
      </c>
      <c r="CU63" s="60">
        <f t="shared" si="86"/>
        <v>100</v>
      </c>
      <c r="CV63" s="132">
        <f t="shared" si="87"/>
        <v>105.14548756510879</v>
      </c>
      <c r="CW63" s="132">
        <f t="shared" si="88"/>
        <v>141.11861884515849</v>
      </c>
      <c r="CX63" s="131">
        <f t="shared" si="89"/>
        <v>105.35424677376571</v>
      </c>
    </row>
    <row r="64" spans="1:102">
      <c r="A64" s="29">
        <v>206</v>
      </c>
      <c r="B64" s="29" t="s">
        <v>3</v>
      </c>
      <c r="C64" s="55" t="s">
        <v>94</v>
      </c>
      <c r="D64" s="56">
        <v>0</v>
      </c>
      <c r="E64" s="57">
        <f>VLOOKUP(A64,AuxOPEXSaneparOriginal!$B$4:$F$177,3,0)</f>
        <v>2228376.6999999941</v>
      </c>
      <c r="F64" s="156">
        <f>VLOOKUP(A64,AuxOPEXSaneparOriginal!$B$4:$F$177,4,0)</f>
        <v>74711.89</v>
      </c>
      <c r="G64" s="57">
        <f>VLOOKUP(A64,AuxOPEXSaneparOriginal!$B$4:$K$177,8,0)</f>
        <v>0</v>
      </c>
      <c r="H64" s="156">
        <f>VLOOKUP(A64,AuxOPEXSaneparOriginal!$B$4:$K$177,9,0)</f>
        <v>638646.16999999958</v>
      </c>
      <c r="I64" s="57">
        <f>VLOOKUP(A64,AuxOPEXSaneparOriginal!$B$4:$N$177,13,0)</f>
        <v>0</v>
      </c>
      <c r="J64" s="57">
        <f>VLOOKUP(A64,AuxOPEXSaneparOriginal!$B$4:$Q$177,16,0)</f>
        <v>3369777.4600000004</v>
      </c>
      <c r="K64" s="57">
        <f>VLOOKUP(A64,AuxOPEXSaneparOriginal!$B$4:$V$177,21,0)</f>
        <v>0</v>
      </c>
      <c r="L64" s="157">
        <f t="shared" si="156"/>
        <v>6311512.2199999942</v>
      </c>
      <c r="M64" s="19">
        <f>VLOOKUP(A64,AuxOPEXSaneparOriginal!$B$4:$AB$177,27,0)</f>
        <v>2204626.1900000004</v>
      </c>
      <c r="N64" s="156">
        <f>VLOOKUP(A64,AuxOPEXSaneparOriginal!$B$4:$AC$177,28,0)</f>
        <v>54642.69999999999</v>
      </c>
      <c r="O64" s="156">
        <f>VLOOKUP(A64,AuxOPEXSaneparOriginal!$B$4:$AD$177,29,0)</f>
        <v>0</v>
      </c>
      <c r="P64" s="156">
        <f>VLOOKUP(A64,AuxOPEXSaneparOriginal!$B$4:$AE$177,30,0)</f>
        <v>665602.52000000014</v>
      </c>
      <c r="Q64" s="146">
        <f>VLOOKUP(A64,AuxOPEXSaneparOriginal!$B$4:$AF$177,31,0)</f>
        <v>0</v>
      </c>
      <c r="R64" s="146">
        <f>VLOOKUP(A64,AuxOPEXSaneparOriginal!$B$4:$AG$177,32,0)</f>
        <v>3121353.4499999997</v>
      </c>
      <c r="S64" s="146">
        <f>VLOOKUP(A64,AuxOPEXSaneparOriginal!$B$4:$AH$177,33,0)</f>
        <v>0</v>
      </c>
      <c r="T64" s="157">
        <f t="shared" si="157"/>
        <v>6046224.8600000003</v>
      </c>
      <c r="U64" s="156">
        <f>VLOOKUP(A64,AuxOPEXSaneparOriginal!$B$4:$AI$177,34,0)</f>
        <v>2680102.659999996</v>
      </c>
      <c r="V64" s="156">
        <f>VLOOKUP(A64,AuxOPEXSaneparOriginal!$B$4:$AJ$177,35,0)</f>
        <v>73709.829999999987</v>
      </c>
      <c r="W64" s="156">
        <f>VLOOKUP(A64,AuxOPEXSaneparOriginal!$B$4:$AK$177,36,0)</f>
        <v>0</v>
      </c>
      <c r="X64" s="19">
        <f>+VLOOKUP(A64,AuxOPEXSaneparOriginal!$B$4:$AL$177,37,0)</f>
        <v>920123.56000000017</v>
      </c>
      <c r="Y64" s="146">
        <f>VLOOKUP(A64,AuxOPEXSaneparOriginal!$B$4:$AM$177,38,0)</f>
        <v>0</v>
      </c>
      <c r="Z64" s="146">
        <f>VLOOKUP(A64,AuxOPEXSaneparOriginal!$B$4:$AN$177,39,0)</f>
        <v>4152267.8899999992</v>
      </c>
      <c r="AA64" s="146">
        <f>VLOOKUP(A64,AuxOPEXSaneparOriginal!$B$4:$AO$177,40,0)</f>
        <v>0</v>
      </c>
      <c r="AB64" s="157">
        <f t="shared" si="158"/>
        <v>7826203.9399999958</v>
      </c>
      <c r="AC64" s="156">
        <f>VLOOKUP(A64,AuxOPEXSaneparOriginal!$B$4:$AP$177,41,0)</f>
        <v>2767628.4099999983</v>
      </c>
      <c r="AD64" s="156">
        <f>+VLOOKUP(A64,AuxOPEXSaneparOriginal!$B$4:$AQ$177,42,0)</f>
        <v>86651.59</v>
      </c>
      <c r="AE64" s="156">
        <f>VLOOKUP(A64,AuxOPEXSaneparOriginal!$B$4:$AR$177,43,0)</f>
        <v>0</v>
      </c>
      <c r="AF64" s="156">
        <f>+VLOOKUP(A64,AuxOPEXSaneparOriginal!$B$4:$AS$177,44,0)</f>
        <v>1112177.8100000005</v>
      </c>
      <c r="AG64" s="146">
        <f>VLOOKUP(A64,AuxOPEXSaneparOriginal!$B$4:$AT$177,45,0)</f>
        <v>0</v>
      </c>
      <c r="AH64" s="146">
        <f>VLOOKUP(A64,AuxOPEXSaneparOriginal!$B$4:$AU$177,46,0)</f>
        <v>3849233.6</v>
      </c>
      <c r="AI64" s="146">
        <f>VLOOKUP(A64,AuxOPEXSaneparOriginal!$B$4:$AV$177,47,0)</f>
        <v>0</v>
      </c>
      <c r="AJ64" s="157">
        <f t="shared" si="159"/>
        <v>7815691.4099999983</v>
      </c>
      <c r="AK64" s="157">
        <f t="shared" si="54"/>
        <v>6999908.1074999971</v>
      </c>
      <c r="AL64" s="157">
        <f t="shared" si="55"/>
        <v>7820947.674999997</v>
      </c>
      <c r="AM64" s="144"/>
      <c r="AN64" s="167">
        <f t="shared" si="160"/>
        <v>2228376.6999999941</v>
      </c>
      <c r="AO64" s="168">
        <f t="shared" si="161"/>
        <v>74711.89</v>
      </c>
      <c r="AP64" s="57">
        <f t="shared" si="162"/>
        <v>0</v>
      </c>
      <c r="AQ64" s="57">
        <f t="shared" si="163"/>
        <v>638646.16999999958</v>
      </c>
      <c r="AR64" s="57">
        <f t="shared" si="164"/>
        <v>0</v>
      </c>
      <c r="AS64" s="57">
        <f t="shared" si="165"/>
        <v>3369777.4600000004</v>
      </c>
      <c r="AT64" s="57">
        <f t="shared" si="166"/>
        <v>0</v>
      </c>
      <c r="AU64" s="157">
        <f t="shared" si="167"/>
        <v>6311512.2199999942</v>
      </c>
      <c r="AV64" s="57">
        <f t="shared" si="168"/>
        <v>2204626.1900000004</v>
      </c>
      <c r="AW64" s="57">
        <f t="shared" si="169"/>
        <v>54642.69999999999</v>
      </c>
      <c r="AX64" s="57">
        <f t="shared" si="170"/>
        <v>0</v>
      </c>
      <c r="AY64" s="57">
        <f t="shared" si="171"/>
        <v>665602.52000000014</v>
      </c>
      <c r="AZ64" s="57">
        <f t="shared" si="172"/>
        <v>0</v>
      </c>
      <c r="BA64" s="57">
        <f t="shared" si="173"/>
        <v>3121353.4499999997</v>
      </c>
      <c r="BB64" s="57">
        <f t="shared" si="174"/>
        <v>0</v>
      </c>
      <c r="BC64" s="157">
        <f t="shared" si="175"/>
        <v>6046224.8600000003</v>
      </c>
      <c r="BD64" s="57">
        <f t="shared" si="176"/>
        <v>2680102.659999996</v>
      </c>
      <c r="BE64" s="57">
        <f t="shared" si="177"/>
        <v>73709.829999999987</v>
      </c>
      <c r="BF64" s="57">
        <f t="shared" si="178"/>
        <v>0</v>
      </c>
      <c r="BG64" s="57">
        <f t="shared" si="179"/>
        <v>920123.56000000017</v>
      </c>
      <c r="BH64" s="57">
        <f t="shared" si="180"/>
        <v>0</v>
      </c>
      <c r="BI64" s="57">
        <f t="shared" si="181"/>
        <v>4152267.8899999992</v>
      </c>
      <c r="BJ64" s="57">
        <f t="shared" si="182"/>
        <v>0</v>
      </c>
      <c r="BK64" s="157">
        <f t="shared" si="183"/>
        <v>7826203.9399999958</v>
      </c>
      <c r="BL64" s="57">
        <f t="shared" si="111"/>
        <v>2767628.4099999983</v>
      </c>
      <c r="BM64" s="57">
        <f t="shared" si="112"/>
        <v>86651.59</v>
      </c>
      <c r="BN64" s="57">
        <f t="shared" si="113"/>
        <v>0</v>
      </c>
      <c r="BO64" s="57">
        <f t="shared" si="114"/>
        <v>1112177.8100000005</v>
      </c>
      <c r="BP64" s="57">
        <f t="shared" si="115"/>
        <v>0</v>
      </c>
      <c r="BQ64" s="57">
        <f t="shared" si="116"/>
        <v>3849233.6</v>
      </c>
      <c r="BR64" s="57">
        <f t="shared" si="117"/>
        <v>0</v>
      </c>
      <c r="BS64" s="157">
        <f t="shared" si="184"/>
        <v>7815691.4099999983</v>
      </c>
      <c r="BT64" s="157">
        <f t="shared" si="73"/>
        <v>6999908.1074999971</v>
      </c>
      <c r="BU64" s="157">
        <f t="shared" si="74"/>
        <v>7820947.674999997</v>
      </c>
      <c r="BV64" s="144"/>
      <c r="BW64" s="158">
        <f t="shared" si="185"/>
        <v>6311512.2199999942</v>
      </c>
      <c r="BX64" s="159">
        <f t="shared" si="186"/>
        <v>6046224.8600000003</v>
      </c>
      <c r="BY64" s="159">
        <f t="shared" si="187"/>
        <v>7826203.9399999958</v>
      </c>
      <c r="BZ64" s="159">
        <f t="shared" si="188"/>
        <v>7815691.4099999983</v>
      </c>
      <c r="CA64" s="158">
        <f t="shared" si="189"/>
        <v>6999908.1074999962</v>
      </c>
      <c r="CB64" s="157">
        <f t="shared" si="190"/>
        <v>7063601.8149999958</v>
      </c>
      <c r="CC64" s="144"/>
      <c r="CD64" s="158">
        <f t="shared" si="191"/>
        <v>7169801.512622131</v>
      </c>
      <c r="CE64" s="159">
        <f t="shared" si="192"/>
        <v>6601354.7631634986</v>
      </c>
      <c r="CF64" s="159">
        <f t="shared" si="193"/>
        <v>8273807.2393200211</v>
      </c>
      <c r="CG64" s="159">
        <f t="shared" si="194"/>
        <v>7815691.4099999983</v>
      </c>
      <c r="CH64" s="158">
        <f t="shared" si="195"/>
        <v>7465163.7312764116</v>
      </c>
      <c r="CI64" s="157">
        <f t="shared" si="196"/>
        <v>7492746.4613110647</v>
      </c>
      <c r="CK64" s="61">
        <f t="shared" si="197"/>
        <v>-7.9283470882409501E-2</v>
      </c>
      <c r="CL64" s="62">
        <f t="shared" si="198"/>
        <v>0.25334988591872776</v>
      </c>
      <c r="CM64" s="63">
        <f t="shared" si="199"/>
        <v>-5.5369410486492465E-2</v>
      </c>
      <c r="CN64" s="61">
        <f t="shared" si="200"/>
        <v>9.008476681548383E-2</v>
      </c>
      <c r="CO64" s="29"/>
      <c r="CP64" s="61">
        <f t="shared" si="201"/>
        <v>3.0203850818837376E-3</v>
      </c>
      <c r="CQ64" s="62">
        <f t="shared" si="202"/>
        <v>2.8424458591858825E-3</v>
      </c>
      <c r="CR64" s="63">
        <f t="shared" si="203"/>
        <v>3.4358908889337934E-3</v>
      </c>
      <c r="CS64" s="61">
        <f t="shared" si="204"/>
        <v>3.2293130496496777E-3</v>
      </c>
      <c r="CU64" s="60">
        <f t="shared" si="86"/>
        <v>100</v>
      </c>
      <c r="CV64" s="132">
        <f t="shared" si="87"/>
        <v>92.071652911759045</v>
      </c>
      <c r="CW64" s="132">
        <f t="shared" si="88"/>
        <v>115.39799567330191</v>
      </c>
      <c r="CX64" s="131">
        <f t="shared" si="89"/>
        <v>109.00847668154839</v>
      </c>
    </row>
    <row r="65" spans="1:102">
      <c r="A65" s="29">
        <v>208</v>
      </c>
      <c r="B65" s="29" t="s">
        <v>3</v>
      </c>
      <c r="C65" s="55" t="s">
        <v>95</v>
      </c>
      <c r="D65" s="56">
        <v>0</v>
      </c>
      <c r="E65" s="57">
        <f>VLOOKUP(A65,AuxOPEXSaneparOriginal!$B$4:$F$177,3,0)</f>
        <v>0</v>
      </c>
      <c r="F65" s="156">
        <f>VLOOKUP(A65,AuxOPEXSaneparOriginal!$B$4:$F$177,4,0)</f>
        <v>0</v>
      </c>
      <c r="G65" s="57">
        <f>VLOOKUP(A65,AuxOPEXSaneparOriginal!$B$4:$K$177,8,0)</f>
        <v>0</v>
      </c>
      <c r="H65" s="156">
        <f>VLOOKUP(A65,AuxOPEXSaneparOriginal!$B$4:$K$177,9,0)</f>
        <v>0</v>
      </c>
      <c r="I65" s="57">
        <f>VLOOKUP(A65,AuxOPEXSaneparOriginal!$B$4:$N$177,13,0)</f>
        <v>0</v>
      </c>
      <c r="J65" s="57">
        <f>VLOOKUP(A65,AuxOPEXSaneparOriginal!$B$4:$Q$177,16,0)</f>
        <v>83026.23</v>
      </c>
      <c r="K65" s="57">
        <f>VLOOKUP(A65,AuxOPEXSaneparOriginal!$B$4:$V$177,21,0)</f>
        <v>0</v>
      </c>
      <c r="L65" s="157">
        <f t="shared" si="156"/>
        <v>83026.23</v>
      </c>
      <c r="M65" s="19">
        <f>VLOOKUP(A65,AuxOPEXSaneparOriginal!$B$4:$AB$177,27,0)</f>
        <v>0</v>
      </c>
      <c r="N65" s="156">
        <f>VLOOKUP(A65,AuxOPEXSaneparOriginal!$B$4:$AC$177,28,0)</f>
        <v>0</v>
      </c>
      <c r="O65" s="156">
        <f>VLOOKUP(A65,AuxOPEXSaneparOriginal!$B$4:$AD$177,29,0)</f>
        <v>0</v>
      </c>
      <c r="P65" s="156">
        <f>VLOOKUP(A65,AuxOPEXSaneparOriginal!$B$4:$AE$177,30,0)</f>
        <v>0</v>
      </c>
      <c r="Q65" s="146">
        <f>VLOOKUP(A65,AuxOPEXSaneparOriginal!$B$4:$AF$177,31,0)</f>
        <v>0</v>
      </c>
      <c r="R65" s="146">
        <f>VLOOKUP(A65,AuxOPEXSaneparOriginal!$B$4:$AG$177,32,0)</f>
        <v>7412.88</v>
      </c>
      <c r="S65" s="146">
        <f>VLOOKUP(A65,AuxOPEXSaneparOriginal!$B$4:$AH$177,33,0)</f>
        <v>0</v>
      </c>
      <c r="T65" s="157">
        <f t="shared" si="157"/>
        <v>7412.88</v>
      </c>
      <c r="U65" s="156">
        <f>VLOOKUP(A65,AuxOPEXSaneparOriginal!$B$4:$AI$177,34,0)</f>
        <v>0</v>
      </c>
      <c r="V65" s="156">
        <f>VLOOKUP(A65,AuxOPEXSaneparOriginal!$B$4:$AJ$177,35,0)</f>
        <v>0</v>
      </c>
      <c r="W65" s="156">
        <f>VLOOKUP(A65,AuxOPEXSaneparOriginal!$B$4:$AK$177,36,0)</f>
        <v>0</v>
      </c>
      <c r="X65" s="19">
        <f>+VLOOKUP(A65,AuxOPEXSaneparOriginal!$B$4:$AL$177,37,0)</f>
        <v>0</v>
      </c>
      <c r="Y65" s="146">
        <f>VLOOKUP(A65,AuxOPEXSaneparOriginal!$B$4:$AM$177,38,0)</f>
        <v>0</v>
      </c>
      <c r="Z65" s="146">
        <f>VLOOKUP(A65,AuxOPEXSaneparOriginal!$B$4:$AN$177,39,0)</f>
        <v>8035.5300000000007</v>
      </c>
      <c r="AA65" s="146">
        <f>VLOOKUP(A65,AuxOPEXSaneparOriginal!$B$4:$AO$177,40,0)</f>
        <v>0</v>
      </c>
      <c r="AB65" s="157">
        <f t="shared" si="158"/>
        <v>8035.5300000000007</v>
      </c>
      <c r="AC65" s="156">
        <f>VLOOKUP(A65,AuxOPEXSaneparOriginal!$B$4:$AP$177,41,0)</f>
        <v>0</v>
      </c>
      <c r="AD65" s="156">
        <f>+VLOOKUP(A65,AuxOPEXSaneparOriginal!$B$4:$AQ$177,42,0)</f>
        <v>0</v>
      </c>
      <c r="AE65" s="156">
        <f>VLOOKUP(A65,AuxOPEXSaneparOriginal!$B$4:$AR$177,43,0)</f>
        <v>0</v>
      </c>
      <c r="AF65" s="156">
        <f>+VLOOKUP(A65,AuxOPEXSaneparOriginal!$B$4:$AS$177,44,0)</f>
        <v>0</v>
      </c>
      <c r="AG65" s="146">
        <f>VLOOKUP(A65,AuxOPEXSaneparOriginal!$B$4:$AT$177,45,0)</f>
        <v>0</v>
      </c>
      <c r="AH65" s="146">
        <f>VLOOKUP(A65,AuxOPEXSaneparOriginal!$B$4:$AU$177,46,0)</f>
        <v>0</v>
      </c>
      <c r="AI65" s="146">
        <f>VLOOKUP(A65,AuxOPEXSaneparOriginal!$B$4:$AV$177,47,0)</f>
        <v>0</v>
      </c>
      <c r="AJ65" s="157">
        <f t="shared" si="159"/>
        <v>0</v>
      </c>
      <c r="AK65" s="157">
        <f t="shared" si="54"/>
        <v>24618.66</v>
      </c>
      <c r="AL65" s="157">
        <f t="shared" si="55"/>
        <v>4017.7650000000003</v>
      </c>
      <c r="AM65" s="144"/>
      <c r="AN65" s="167">
        <f t="shared" si="160"/>
        <v>0</v>
      </c>
      <c r="AO65" s="168">
        <f t="shared" si="161"/>
        <v>0</v>
      </c>
      <c r="AP65" s="57">
        <f t="shared" si="162"/>
        <v>0</v>
      </c>
      <c r="AQ65" s="57">
        <f t="shared" si="163"/>
        <v>0</v>
      </c>
      <c r="AR65" s="57">
        <f t="shared" si="164"/>
        <v>0</v>
      </c>
      <c r="AS65" s="57">
        <f t="shared" si="165"/>
        <v>83026.23</v>
      </c>
      <c r="AT65" s="57">
        <f t="shared" si="166"/>
        <v>0</v>
      </c>
      <c r="AU65" s="157">
        <f t="shared" si="167"/>
        <v>83026.23</v>
      </c>
      <c r="AV65" s="57">
        <f t="shared" si="168"/>
        <v>0</v>
      </c>
      <c r="AW65" s="57">
        <f t="shared" si="169"/>
        <v>0</v>
      </c>
      <c r="AX65" s="57">
        <f t="shared" si="170"/>
        <v>0</v>
      </c>
      <c r="AY65" s="57">
        <f t="shared" si="171"/>
        <v>0</v>
      </c>
      <c r="AZ65" s="57">
        <f t="shared" si="172"/>
        <v>0</v>
      </c>
      <c r="BA65" s="57">
        <f t="shared" si="173"/>
        <v>7412.88</v>
      </c>
      <c r="BB65" s="57">
        <f t="shared" si="174"/>
        <v>0</v>
      </c>
      <c r="BC65" s="157">
        <f t="shared" si="175"/>
        <v>7412.88</v>
      </c>
      <c r="BD65" s="57">
        <f t="shared" si="176"/>
        <v>0</v>
      </c>
      <c r="BE65" s="57">
        <f t="shared" si="177"/>
        <v>0</v>
      </c>
      <c r="BF65" s="57">
        <f t="shared" si="178"/>
        <v>0</v>
      </c>
      <c r="BG65" s="57">
        <f t="shared" si="179"/>
        <v>0</v>
      </c>
      <c r="BH65" s="57">
        <f t="shared" si="180"/>
        <v>0</v>
      </c>
      <c r="BI65" s="57">
        <f t="shared" si="181"/>
        <v>8035.5300000000007</v>
      </c>
      <c r="BJ65" s="57">
        <f t="shared" si="182"/>
        <v>0</v>
      </c>
      <c r="BK65" s="157">
        <f t="shared" si="183"/>
        <v>8035.5300000000007</v>
      </c>
      <c r="BL65" s="57">
        <f t="shared" si="111"/>
        <v>0</v>
      </c>
      <c r="BM65" s="57">
        <f t="shared" si="112"/>
        <v>0</v>
      </c>
      <c r="BN65" s="57">
        <f t="shared" si="113"/>
        <v>0</v>
      </c>
      <c r="BO65" s="57">
        <f t="shared" si="114"/>
        <v>0</v>
      </c>
      <c r="BP65" s="57">
        <f t="shared" si="115"/>
        <v>0</v>
      </c>
      <c r="BQ65" s="57">
        <f t="shared" si="116"/>
        <v>0</v>
      </c>
      <c r="BR65" s="57">
        <f t="shared" si="117"/>
        <v>0</v>
      </c>
      <c r="BS65" s="157">
        <f t="shared" si="184"/>
        <v>0</v>
      </c>
      <c r="BT65" s="157">
        <f t="shared" si="73"/>
        <v>24618.66</v>
      </c>
      <c r="BU65" s="157">
        <f t="shared" si="74"/>
        <v>4017.7650000000003</v>
      </c>
      <c r="BV65" s="144"/>
      <c r="BW65" s="158">
        <f t="shared" si="185"/>
        <v>83026.23</v>
      </c>
      <c r="BX65" s="159">
        <f t="shared" si="186"/>
        <v>7412.88</v>
      </c>
      <c r="BY65" s="159">
        <f t="shared" si="187"/>
        <v>8035.5300000000007</v>
      </c>
      <c r="BZ65" s="159">
        <f t="shared" si="188"/>
        <v>0</v>
      </c>
      <c r="CA65" s="158">
        <f t="shared" si="189"/>
        <v>24618.66</v>
      </c>
      <c r="CB65" s="157">
        <f t="shared" si="190"/>
        <v>7724.2049999999999</v>
      </c>
      <c r="CC65" s="144"/>
      <c r="CD65" s="158">
        <f t="shared" si="191"/>
        <v>94316.792662616994</v>
      </c>
      <c r="CE65" s="159">
        <f t="shared" si="192"/>
        <v>8093.4883881840005</v>
      </c>
      <c r="CF65" s="159">
        <f t="shared" si="193"/>
        <v>8495.1052637370012</v>
      </c>
      <c r="CG65" s="159">
        <f t="shared" si="194"/>
        <v>0</v>
      </c>
      <c r="CH65" s="158">
        <f t="shared" si="195"/>
        <v>27726.3465786345</v>
      </c>
      <c r="CI65" s="157">
        <f t="shared" si="196"/>
        <v>8294.2968259605004</v>
      </c>
      <c r="CK65" s="61">
        <f t="shared" si="197"/>
        <v>-0.91418825683422655</v>
      </c>
      <c r="CL65" s="62">
        <f t="shared" si="198"/>
        <v>4.9622221752901652E-2</v>
      </c>
      <c r="CM65" s="63">
        <f t="shared" si="199"/>
        <v>-1</v>
      </c>
      <c r="CN65" s="61">
        <f t="shared" si="200"/>
        <v>-1</v>
      </c>
      <c r="CO65" s="29"/>
      <c r="CP65" s="61">
        <f t="shared" si="201"/>
        <v>3.9732345871469809E-5</v>
      </c>
      <c r="CQ65" s="62">
        <f t="shared" si="202"/>
        <v>3.4849365593461972E-6</v>
      </c>
      <c r="CR65" s="63">
        <f t="shared" si="203"/>
        <v>3.5277900405383744E-6</v>
      </c>
      <c r="CS65" s="61">
        <f t="shared" si="204"/>
        <v>0</v>
      </c>
      <c r="CU65" s="60">
        <f t="shared" si="86"/>
        <v>100</v>
      </c>
      <c r="CV65" s="132">
        <f t="shared" si="87"/>
        <v>8.58117431657735</v>
      </c>
      <c r="CW65" s="132">
        <f t="shared" si="88"/>
        <v>9.0069912514148562</v>
      </c>
      <c r="CX65" s="131">
        <f t="shared" si="89"/>
        <v>0</v>
      </c>
    </row>
    <row r="66" spans="1:102">
      <c r="A66" s="29">
        <v>209</v>
      </c>
      <c r="B66" s="29" t="s">
        <v>3</v>
      </c>
      <c r="C66" s="55" t="s">
        <v>96</v>
      </c>
      <c r="D66" s="56">
        <v>0</v>
      </c>
      <c r="E66" s="57">
        <f>VLOOKUP(A66,AuxOPEXSaneparOriginal!$B$4:$F$177,3,0)</f>
        <v>0</v>
      </c>
      <c r="F66" s="156">
        <f>VLOOKUP(A66,AuxOPEXSaneparOriginal!$B$4:$F$177,4,0)</f>
        <v>0</v>
      </c>
      <c r="G66" s="57">
        <f>VLOOKUP(A66,AuxOPEXSaneparOriginal!$B$4:$K$177,8,0)</f>
        <v>0</v>
      </c>
      <c r="H66" s="156">
        <f>VLOOKUP(A66,AuxOPEXSaneparOriginal!$B$4:$K$177,9,0)</f>
        <v>0</v>
      </c>
      <c r="I66" s="57">
        <f>VLOOKUP(A66,AuxOPEXSaneparOriginal!$B$4:$N$177,13,0)</f>
        <v>1155820.8500000003</v>
      </c>
      <c r="J66" s="57">
        <f>VLOOKUP(A66,AuxOPEXSaneparOriginal!$B$4:$Q$177,16,0)</f>
        <v>0</v>
      </c>
      <c r="K66" s="57">
        <f>VLOOKUP(A66,AuxOPEXSaneparOriginal!$B$4:$V$177,21,0)</f>
        <v>0</v>
      </c>
      <c r="L66" s="157">
        <f t="shared" si="156"/>
        <v>1155820.8500000003</v>
      </c>
      <c r="M66" s="19">
        <f>VLOOKUP(A66,AuxOPEXSaneparOriginal!$B$4:$AB$177,27,0)</f>
        <v>0</v>
      </c>
      <c r="N66" s="156">
        <f>VLOOKUP(A66,AuxOPEXSaneparOriginal!$B$4:$AC$177,28,0)</f>
        <v>0</v>
      </c>
      <c r="O66" s="156">
        <f>VLOOKUP(A66,AuxOPEXSaneparOriginal!$B$4:$AD$177,29,0)</f>
        <v>0</v>
      </c>
      <c r="P66" s="156">
        <f>VLOOKUP(A66,AuxOPEXSaneparOriginal!$B$4:$AE$177,30,0)</f>
        <v>0</v>
      </c>
      <c r="Q66" s="146">
        <f>VLOOKUP(A66,AuxOPEXSaneparOriginal!$B$4:$AF$177,31,0)</f>
        <v>1226362.3199999996</v>
      </c>
      <c r="R66" s="146">
        <f>VLOOKUP(A66,AuxOPEXSaneparOriginal!$B$4:$AG$177,32,0)</f>
        <v>0</v>
      </c>
      <c r="S66" s="146">
        <f>VLOOKUP(A66,AuxOPEXSaneparOriginal!$B$4:$AH$177,33,0)</f>
        <v>0</v>
      </c>
      <c r="T66" s="157">
        <f t="shared" si="157"/>
        <v>1226362.3199999996</v>
      </c>
      <c r="U66" s="156">
        <f>VLOOKUP(A66,AuxOPEXSaneparOriginal!$B$4:$AI$177,34,0)</f>
        <v>0</v>
      </c>
      <c r="V66" s="156">
        <f>VLOOKUP(A66,AuxOPEXSaneparOriginal!$B$4:$AJ$177,35,0)</f>
        <v>0</v>
      </c>
      <c r="W66" s="156">
        <f>VLOOKUP(A66,AuxOPEXSaneparOriginal!$B$4:$AK$177,36,0)</f>
        <v>0</v>
      </c>
      <c r="X66" s="19">
        <f>+VLOOKUP(A66,AuxOPEXSaneparOriginal!$B$4:$AL$177,37,0)</f>
        <v>0</v>
      </c>
      <c r="Y66" s="146">
        <f>VLOOKUP(A66,AuxOPEXSaneparOriginal!$B$4:$AM$177,38,0)</f>
        <v>1260098.0900000008</v>
      </c>
      <c r="Z66" s="146">
        <f>VLOOKUP(A66,AuxOPEXSaneparOriginal!$B$4:$AN$177,39,0)</f>
        <v>0</v>
      </c>
      <c r="AA66" s="146">
        <f>VLOOKUP(A66,AuxOPEXSaneparOriginal!$B$4:$AO$177,40,0)</f>
        <v>0</v>
      </c>
      <c r="AB66" s="157">
        <f t="shared" si="158"/>
        <v>1260098.0900000008</v>
      </c>
      <c r="AC66" s="156">
        <f>VLOOKUP(A66,AuxOPEXSaneparOriginal!$B$4:$AP$177,41,0)</f>
        <v>0</v>
      </c>
      <c r="AD66" s="156">
        <f>+VLOOKUP(A66,AuxOPEXSaneparOriginal!$B$4:$AQ$177,42,0)</f>
        <v>0</v>
      </c>
      <c r="AE66" s="156">
        <f>VLOOKUP(A66,AuxOPEXSaneparOriginal!$B$4:$AR$177,43,0)</f>
        <v>0</v>
      </c>
      <c r="AF66" s="156">
        <f>+VLOOKUP(A66,AuxOPEXSaneparOriginal!$B$4:$AS$177,44,0)</f>
        <v>0</v>
      </c>
      <c r="AG66" s="146">
        <f>VLOOKUP(A66,AuxOPEXSaneparOriginal!$B$4:$AT$177,45,0)</f>
        <v>505607.00999999972</v>
      </c>
      <c r="AH66" s="146">
        <f>VLOOKUP(A66,AuxOPEXSaneparOriginal!$B$4:$AU$177,46,0)</f>
        <v>0</v>
      </c>
      <c r="AI66" s="146">
        <f>VLOOKUP(A66,AuxOPEXSaneparOriginal!$B$4:$AV$177,47,0)</f>
        <v>0</v>
      </c>
      <c r="AJ66" s="157">
        <f t="shared" si="159"/>
        <v>505607.00999999972</v>
      </c>
      <c r="AK66" s="157">
        <f t="shared" si="54"/>
        <v>1036972.0675000001</v>
      </c>
      <c r="AL66" s="157">
        <f t="shared" si="55"/>
        <v>882852.55000000028</v>
      </c>
      <c r="AM66" s="144"/>
      <c r="AN66" s="167">
        <f t="shared" si="160"/>
        <v>0</v>
      </c>
      <c r="AO66" s="168">
        <f t="shared" si="161"/>
        <v>0</v>
      </c>
      <c r="AP66" s="57">
        <f t="shared" si="162"/>
        <v>0</v>
      </c>
      <c r="AQ66" s="57">
        <f t="shared" si="163"/>
        <v>0</v>
      </c>
      <c r="AR66" s="57">
        <f t="shared" si="164"/>
        <v>1155820.8500000003</v>
      </c>
      <c r="AS66" s="57">
        <f t="shared" si="165"/>
        <v>0</v>
      </c>
      <c r="AT66" s="57">
        <f t="shared" si="166"/>
        <v>0</v>
      </c>
      <c r="AU66" s="157">
        <f t="shared" si="167"/>
        <v>1155820.8500000003</v>
      </c>
      <c r="AV66" s="57">
        <f t="shared" si="168"/>
        <v>0</v>
      </c>
      <c r="AW66" s="57">
        <f t="shared" si="169"/>
        <v>0</v>
      </c>
      <c r="AX66" s="57">
        <f t="shared" si="170"/>
        <v>0</v>
      </c>
      <c r="AY66" s="57">
        <f t="shared" si="171"/>
        <v>0</v>
      </c>
      <c r="AZ66" s="57">
        <f t="shared" si="172"/>
        <v>1226362.3199999996</v>
      </c>
      <c r="BA66" s="57">
        <f t="shared" si="173"/>
        <v>0</v>
      </c>
      <c r="BB66" s="57">
        <f t="shared" si="174"/>
        <v>0</v>
      </c>
      <c r="BC66" s="157">
        <f t="shared" si="175"/>
        <v>1226362.3199999996</v>
      </c>
      <c r="BD66" s="57">
        <f t="shared" si="176"/>
        <v>0</v>
      </c>
      <c r="BE66" s="57">
        <f t="shared" si="177"/>
        <v>0</v>
      </c>
      <c r="BF66" s="57">
        <f t="shared" si="178"/>
        <v>0</v>
      </c>
      <c r="BG66" s="57">
        <f t="shared" si="179"/>
        <v>0</v>
      </c>
      <c r="BH66" s="57">
        <f t="shared" si="180"/>
        <v>1260098.0900000008</v>
      </c>
      <c r="BI66" s="57">
        <f t="shared" si="181"/>
        <v>0</v>
      </c>
      <c r="BJ66" s="57">
        <f t="shared" si="182"/>
        <v>0</v>
      </c>
      <c r="BK66" s="157">
        <f t="shared" si="183"/>
        <v>1260098.0900000008</v>
      </c>
      <c r="BL66" s="57">
        <f t="shared" si="111"/>
        <v>0</v>
      </c>
      <c r="BM66" s="57">
        <f t="shared" si="112"/>
        <v>0</v>
      </c>
      <c r="BN66" s="57">
        <f t="shared" si="113"/>
        <v>0</v>
      </c>
      <c r="BO66" s="57">
        <f t="shared" si="114"/>
        <v>0</v>
      </c>
      <c r="BP66" s="57">
        <f t="shared" si="115"/>
        <v>505607.00999999972</v>
      </c>
      <c r="BQ66" s="57">
        <f t="shared" si="116"/>
        <v>0</v>
      </c>
      <c r="BR66" s="57">
        <f t="shared" si="117"/>
        <v>0</v>
      </c>
      <c r="BS66" s="157">
        <f t="shared" si="184"/>
        <v>505607.00999999972</v>
      </c>
      <c r="BT66" s="157">
        <f t="shared" si="73"/>
        <v>1036972.0675000001</v>
      </c>
      <c r="BU66" s="157">
        <f t="shared" si="74"/>
        <v>882852.55000000028</v>
      </c>
      <c r="BV66" s="144"/>
      <c r="BW66" s="158">
        <f t="shared" si="185"/>
        <v>1155820.8500000003</v>
      </c>
      <c r="BX66" s="159">
        <f t="shared" si="186"/>
        <v>1226362.3199999996</v>
      </c>
      <c r="BY66" s="159">
        <f t="shared" si="187"/>
        <v>1260098.0900000008</v>
      </c>
      <c r="BZ66" s="159">
        <f t="shared" si="188"/>
        <v>505607.00999999972</v>
      </c>
      <c r="CA66" s="158">
        <f t="shared" si="189"/>
        <v>1036972.0675000001</v>
      </c>
      <c r="CB66" s="157">
        <f t="shared" si="190"/>
        <v>1191091.585</v>
      </c>
      <c r="CC66" s="144"/>
      <c r="CD66" s="158">
        <f t="shared" si="191"/>
        <v>1312998.5001677154</v>
      </c>
      <c r="CE66" s="159">
        <f t="shared" si="192"/>
        <v>1338959.9179571755</v>
      </c>
      <c r="CF66" s="159">
        <f t="shared" si="193"/>
        <v>1332166.7540515617</v>
      </c>
      <c r="CG66" s="159">
        <f t="shared" si="194"/>
        <v>505607.00999999972</v>
      </c>
      <c r="CH66" s="158">
        <f t="shared" si="195"/>
        <v>1122433.045544113</v>
      </c>
      <c r="CI66" s="157">
        <f t="shared" si="196"/>
        <v>1322582.6271096384</v>
      </c>
      <c r="CK66" s="61">
        <f t="shared" si="197"/>
        <v>1.9772618008431886E-2</v>
      </c>
      <c r="CL66" s="62">
        <f t="shared" si="198"/>
        <v>-5.0734632265752033E-3</v>
      </c>
      <c r="CM66" s="63">
        <f t="shared" si="199"/>
        <v>-0.62046267221255835</v>
      </c>
      <c r="CN66" s="61">
        <f t="shared" si="200"/>
        <v>-0.61492186781979097</v>
      </c>
      <c r="CO66" s="29"/>
      <c r="CP66" s="61">
        <f t="shared" si="201"/>
        <v>5.5312006552213973E-4</v>
      </c>
      <c r="CQ66" s="62">
        <f t="shared" si="202"/>
        <v>5.7653636427038046E-4</v>
      </c>
      <c r="CR66" s="63">
        <f t="shared" si="203"/>
        <v>5.5321322825046138E-4</v>
      </c>
      <c r="CS66" s="61">
        <f t="shared" si="204"/>
        <v>2.0890836520212028E-4</v>
      </c>
      <c r="CU66" s="60">
        <f t="shared" si="86"/>
        <v>100</v>
      </c>
      <c r="CV66" s="132">
        <f t="shared" si="87"/>
        <v>101.97726180084319</v>
      </c>
      <c r="CW66" s="132">
        <f t="shared" si="88"/>
        <v>101.45988391314977</v>
      </c>
      <c r="CX66" s="131">
        <f t="shared" si="89"/>
        <v>38.5078132180209</v>
      </c>
    </row>
    <row r="67" spans="1:102">
      <c r="A67" s="29">
        <v>210</v>
      </c>
      <c r="B67" s="29" t="s">
        <v>3</v>
      </c>
      <c r="C67" s="55" t="s">
        <v>97</v>
      </c>
      <c r="D67" s="56">
        <v>0</v>
      </c>
      <c r="E67" s="57">
        <f>VLOOKUP(A67,AuxOPEXSaneparOriginal!$B$4:$F$177,3,0)</f>
        <v>53217.97</v>
      </c>
      <c r="F67" s="156">
        <f>VLOOKUP(A67,AuxOPEXSaneparOriginal!$B$4:$F$177,4,0)</f>
        <v>221240.87999999992</v>
      </c>
      <c r="G67" s="57">
        <f>VLOOKUP(A67,AuxOPEXSaneparOriginal!$B$4:$K$177,8,0)</f>
        <v>113416.01999999999</v>
      </c>
      <c r="H67" s="156">
        <f>VLOOKUP(A67,AuxOPEXSaneparOriginal!$B$4:$K$177,9,0)</f>
        <v>52467.33</v>
      </c>
      <c r="I67" s="57">
        <f>VLOOKUP(A67,AuxOPEXSaneparOriginal!$B$4:$N$177,13,0)</f>
        <v>16328.019999999999</v>
      </c>
      <c r="J67" s="57">
        <f>VLOOKUP(A67,AuxOPEXSaneparOriginal!$B$4:$Q$177,16,0)</f>
        <v>269703.95</v>
      </c>
      <c r="K67" s="57">
        <f>VLOOKUP(A67,AuxOPEXSaneparOriginal!$B$4:$V$177,21,0)</f>
        <v>0</v>
      </c>
      <c r="L67" s="157">
        <f t="shared" si="156"/>
        <v>726374.16999999993</v>
      </c>
      <c r="M67" s="19">
        <f>VLOOKUP(A67,AuxOPEXSaneparOriginal!$B$4:$AB$177,27,0)</f>
        <v>143592.32000000007</v>
      </c>
      <c r="N67" s="156">
        <f>VLOOKUP(A67,AuxOPEXSaneparOriginal!$B$4:$AC$177,28,0)</f>
        <v>327990.38000000006</v>
      </c>
      <c r="O67" s="156">
        <f>VLOOKUP(A67,AuxOPEXSaneparOriginal!$B$4:$AD$177,29,0)</f>
        <v>57308.21</v>
      </c>
      <c r="P67" s="156">
        <f>VLOOKUP(A67,AuxOPEXSaneparOriginal!$B$4:$AE$177,30,0)</f>
        <v>49457.129999999983</v>
      </c>
      <c r="Q67" s="146">
        <f>VLOOKUP(A67,AuxOPEXSaneparOriginal!$B$4:$AF$177,31,0)</f>
        <v>11412.899999999998</v>
      </c>
      <c r="R67" s="146">
        <f>VLOOKUP(A67,AuxOPEXSaneparOriginal!$B$4:$AG$177,32,0)</f>
        <v>254081.81</v>
      </c>
      <c r="S67" s="146">
        <f>VLOOKUP(A67,AuxOPEXSaneparOriginal!$B$4:$AH$177,33,0)</f>
        <v>0</v>
      </c>
      <c r="T67" s="157">
        <f t="shared" si="157"/>
        <v>843842.75000000023</v>
      </c>
      <c r="U67" s="156">
        <f>VLOOKUP(A67,AuxOPEXSaneparOriginal!$B$4:$AI$177,34,0)</f>
        <v>53539.289999999994</v>
      </c>
      <c r="V67" s="156">
        <f>VLOOKUP(A67,AuxOPEXSaneparOriginal!$B$4:$AJ$177,35,0)</f>
        <v>276694.3</v>
      </c>
      <c r="W67" s="156">
        <f>VLOOKUP(A67,AuxOPEXSaneparOriginal!$B$4:$AK$177,36,0)</f>
        <v>39190.669999999991</v>
      </c>
      <c r="X67" s="19">
        <f>+VLOOKUP(A67,AuxOPEXSaneparOriginal!$B$4:$AL$177,37,0)</f>
        <v>52810.640000000007</v>
      </c>
      <c r="Y67" s="146">
        <f>VLOOKUP(A67,AuxOPEXSaneparOriginal!$B$4:$AM$177,38,0)</f>
        <v>3310.9800000000009</v>
      </c>
      <c r="Z67" s="146">
        <f>VLOOKUP(A67,AuxOPEXSaneparOriginal!$B$4:$AN$177,39,0)</f>
        <v>239335.93999999997</v>
      </c>
      <c r="AA67" s="146">
        <f>VLOOKUP(A67,AuxOPEXSaneparOriginal!$B$4:$AO$177,40,0)</f>
        <v>0</v>
      </c>
      <c r="AB67" s="157">
        <f t="shared" si="158"/>
        <v>664881.81999999995</v>
      </c>
      <c r="AC67" s="156">
        <f>VLOOKUP(A67,AuxOPEXSaneparOriginal!$B$4:$AP$177,41,0)</f>
        <v>92738.910000000018</v>
      </c>
      <c r="AD67" s="156">
        <f>+VLOOKUP(A67,AuxOPEXSaneparOriginal!$B$4:$AQ$177,42,0)</f>
        <v>259712.4500000001</v>
      </c>
      <c r="AE67" s="156">
        <f>VLOOKUP(A67,AuxOPEXSaneparOriginal!$B$4:$AR$177,43,0)</f>
        <v>114163.18</v>
      </c>
      <c r="AF67" s="156">
        <f>+VLOOKUP(A67,AuxOPEXSaneparOriginal!$B$4:$AS$177,44,0)</f>
        <v>43703.57</v>
      </c>
      <c r="AG67" s="146">
        <f>VLOOKUP(A67,AuxOPEXSaneparOriginal!$B$4:$AT$177,45,0)</f>
        <v>671.23</v>
      </c>
      <c r="AH67" s="146">
        <f>VLOOKUP(A67,AuxOPEXSaneparOriginal!$B$4:$AU$177,46,0)</f>
        <v>171632.71000000005</v>
      </c>
      <c r="AI67" s="146">
        <f>VLOOKUP(A67,AuxOPEXSaneparOriginal!$B$4:$AV$177,47,0)</f>
        <v>0</v>
      </c>
      <c r="AJ67" s="157">
        <f t="shared" si="159"/>
        <v>682622.05000000016</v>
      </c>
      <c r="AK67" s="157">
        <f t="shared" si="54"/>
        <v>729430.19750000001</v>
      </c>
      <c r="AL67" s="157">
        <f t="shared" si="55"/>
        <v>673751.93500000006</v>
      </c>
      <c r="AM67" s="144"/>
      <c r="AN67" s="167">
        <f t="shared" si="160"/>
        <v>53217.97</v>
      </c>
      <c r="AO67" s="168">
        <f t="shared" si="161"/>
        <v>221240.87999999992</v>
      </c>
      <c r="AP67" s="57">
        <f t="shared" si="162"/>
        <v>113416.01999999999</v>
      </c>
      <c r="AQ67" s="57">
        <f t="shared" si="163"/>
        <v>52467.33</v>
      </c>
      <c r="AR67" s="57">
        <f t="shared" si="164"/>
        <v>16328.019999999999</v>
      </c>
      <c r="AS67" s="57">
        <f t="shared" si="165"/>
        <v>269703.95</v>
      </c>
      <c r="AT67" s="57">
        <f t="shared" si="166"/>
        <v>0</v>
      </c>
      <c r="AU67" s="157">
        <f t="shared" si="167"/>
        <v>726374.16999999993</v>
      </c>
      <c r="AV67" s="57">
        <f t="shared" si="168"/>
        <v>143592.32000000007</v>
      </c>
      <c r="AW67" s="57">
        <f t="shared" si="169"/>
        <v>327990.38000000006</v>
      </c>
      <c r="AX67" s="57">
        <f t="shared" si="170"/>
        <v>57308.21</v>
      </c>
      <c r="AY67" s="57">
        <f t="shared" si="171"/>
        <v>49457.129999999983</v>
      </c>
      <c r="AZ67" s="57">
        <f t="shared" si="172"/>
        <v>11412.899999999998</v>
      </c>
      <c r="BA67" s="57">
        <f t="shared" si="173"/>
        <v>254081.81</v>
      </c>
      <c r="BB67" s="57">
        <f t="shared" si="174"/>
        <v>0</v>
      </c>
      <c r="BC67" s="157">
        <f t="shared" si="175"/>
        <v>843842.75000000023</v>
      </c>
      <c r="BD67" s="57">
        <f t="shared" si="176"/>
        <v>53539.289999999994</v>
      </c>
      <c r="BE67" s="57">
        <f t="shared" si="177"/>
        <v>276694.3</v>
      </c>
      <c r="BF67" s="57">
        <f t="shared" si="178"/>
        <v>39190.669999999991</v>
      </c>
      <c r="BG67" s="57">
        <f t="shared" si="179"/>
        <v>52810.640000000007</v>
      </c>
      <c r="BH67" s="57">
        <f t="shared" si="180"/>
        <v>3310.9800000000009</v>
      </c>
      <c r="BI67" s="57">
        <f t="shared" si="181"/>
        <v>239335.93999999997</v>
      </c>
      <c r="BJ67" s="57">
        <f t="shared" si="182"/>
        <v>0</v>
      </c>
      <c r="BK67" s="157">
        <f t="shared" si="183"/>
        <v>664881.81999999995</v>
      </c>
      <c r="BL67" s="57">
        <f t="shared" si="111"/>
        <v>92738.910000000018</v>
      </c>
      <c r="BM67" s="57">
        <f t="shared" si="112"/>
        <v>259712.4500000001</v>
      </c>
      <c r="BN67" s="57">
        <f t="shared" si="113"/>
        <v>114163.18</v>
      </c>
      <c r="BO67" s="57">
        <f t="shared" si="114"/>
        <v>43703.57</v>
      </c>
      <c r="BP67" s="57">
        <f t="shared" si="115"/>
        <v>671.23</v>
      </c>
      <c r="BQ67" s="57">
        <f t="shared" si="116"/>
        <v>171632.71000000005</v>
      </c>
      <c r="BR67" s="57">
        <f t="shared" si="117"/>
        <v>0</v>
      </c>
      <c r="BS67" s="157">
        <f t="shared" si="184"/>
        <v>682622.05000000016</v>
      </c>
      <c r="BT67" s="157">
        <f t="shared" si="73"/>
        <v>729430.19750000001</v>
      </c>
      <c r="BU67" s="157">
        <f t="shared" si="74"/>
        <v>673751.93500000006</v>
      </c>
      <c r="BV67" s="144"/>
      <c r="BW67" s="158">
        <f t="shared" si="185"/>
        <v>726374.16999999993</v>
      </c>
      <c r="BX67" s="159">
        <f t="shared" si="186"/>
        <v>843842.75000000023</v>
      </c>
      <c r="BY67" s="159">
        <f t="shared" si="187"/>
        <v>664881.81999999995</v>
      </c>
      <c r="BZ67" s="159">
        <f t="shared" si="188"/>
        <v>682622.05000000016</v>
      </c>
      <c r="CA67" s="158">
        <f t="shared" si="189"/>
        <v>729430.19750000013</v>
      </c>
      <c r="CB67" s="157">
        <f t="shared" si="190"/>
        <v>704498.1100000001</v>
      </c>
      <c r="CC67" s="144"/>
      <c r="CD67" s="158">
        <f t="shared" si="191"/>
        <v>825152.26799254282</v>
      </c>
      <c r="CE67" s="159">
        <f t="shared" si="192"/>
        <v>921319.5814013253</v>
      </c>
      <c r="CF67" s="159">
        <f t="shared" si="193"/>
        <v>702908.33944307792</v>
      </c>
      <c r="CG67" s="159">
        <f t="shared" si="194"/>
        <v>682622.05000000016</v>
      </c>
      <c r="CH67" s="158">
        <f t="shared" si="195"/>
        <v>783000.55970923661</v>
      </c>
      <c r="CI67" s="157">
        <f t="shared" si="196"/>
        <v>764030.30371781043</v>
      </c>
      <c r="CK67" s="61">
        <f t="shared" si="197"/>
        <v>0.11654493011664546</v>
      </c>
      <c r="CL67" s="62">
        <f t="shared" si="198"/>
        <v>-0.23706349714834485</v>
      </c>
      <c r="CM67" s="63">
        <f t="shared" si="199"/>
        <v>-2.8860504712678203E-2</v>
      </c>
      <c r="CN67" s="61">
        <f t="shared" si="200"/>
        <v>-0.17273201992075327</v>
      </c>
      <c r="CO67" s="29"/>
      <c r="CP67" s="61">
        <f t="shared" si="201"/>
        <v>3.476076145399087E-4</v>
      </c>
      <c r="CQ67" s="62">
        <f t="shared" si="202"/>
        <v>3.9670660388597061E-4</v>
      </c>
      <c r="CR67" s="63">
        <f t="shared" si="203"/>
        <v>2.9189903624664802E-4</v>
      </c>
      <c r="CS67" s="61">
        <f t="shared" si="204"/>
        <v>2.8204802088566794E-4</v>
      </c>
      <c r="CU67" s="60">
        <f t="shared" si="86"/>
        <v>100</v>
      </c>
      <c r="CV67" s="132">
        <f t="shared" si="87"/>
        <v>111.65449301166454</v>
      </c>
      <c r="CW67" s="132">
        <f t="shared" si="88"/>
        <v>85.185288425993917</v>
      </c>
      <c r="CX67" s="131">
        <f t="shared" si="89"/>
        <v>82.726798007924671</v>
      </c>
    </row>
    <row r="68" spans="1:102">
      <c r="A68" s="29">
        <v>211</v>
      </c>
      <c r="B68" s="29" t="s">
        <v>3</v>
      </c>
      <c r="C68" s="55" t="s">
        <v>98</v>
      </c>
      <c r="D68" s="56">
        <v>0</v>
      </c>
      <c r="E68" s="57">
        <f>VLOOKUP(A68,AuxOPEXSaneparOriginal!$B$4:$F$177,3,0)</f>
        <v>279172.42</v>
      </c>
      <c r="F68" s="156">
        <f>VLOOKUP(A68,AuxOPEXSaneparOriginal!$B$4:$F$177,4,0)</f>
        <v>889532.71</v>
      </c>
      <c r="G68" s="57">
        <f>VLOOKUP(A68,AuxOPEXSaneparOriginal!$B$4:$K$177,8,0)</f>
        <v>1108807.8199999998</v>
      </c>
      <c r="H68" s="156">
        <f>VLOOKUP(A68,AuxOPEXSaneparOriginal!$B$4:$K$177,9,0)</f>
        <v>206460.03000000006</v>
      </c>
      <c r="I68" s="57">
        <f>VLOOKUP(A68,AuxOPEXSaneparOriginal!$B$4:$N$177,13,0)</f>
        <v>216742.72</v>
      </c>
      <c r="J68" s="57">
        <f>VLOOKUP(A68,AuxOPEXSaneparOriginal!$B$4:$Q$177,16,0)</f>
        <v>1726363.0999999999</v>
      </c>
      <c r="K68" s="57">
        <f>VLOOKUP(A68,AuxOPEXSaneparOriginal!$B$4:$V$177,21,0)</f>
        <v>0</v>
      </c>
      <c r="L68" s="157">
        <f t="shared" si="156"/>
        <v>4427078.8</v>
      </c>
      <c r="M68" s="19">
        <f>VLOOKUP(A68,AuxOPEXSaneparOriginal!$B$4:$AB$177,27,0)</f>
        <v>195914.73</v>
      </c>
      <c r="N68" s="156">
        <f>VLOOKUP(A68,AuxOPEXSaneparOriginal!$B$4:$AC$177,28,0)</f>
        <v>624660.18000000005</v>
      </c>
      <c r="O68" s="156">
        <f>VLOOKUP(A68,AuxOPEXSaneparOriginal!$B$4:$AD$177,29,0)</f>
        <v>1034475.6299999999</v>
      </c>
      <c r="P68" s="156">
        <f>VLOOKUP(A68,AuxOPEXSaneparOriginal!$B$4:$AE$177,30,0)</f>
        <v>202970.30999999997</v>
      </c>
      <c r="Q68" s="146">
        <f>VLOOKUP(A68,AuxOPEXSaneparOriginal!$B$4:$AF$177,31,0)</f>
        <v>126501.86</v>
      </c>
      <c r="R68" s="146">
        <f>VLOOKUP(A68,AuxOPEXSaneparOriginal!$B$4:$AG$177,32,0)</f>
        <v>1097175.8600000001</v>
      </c>
      <c r="S68" s="146">
        <f>VLOOKUP(A68,AuxOPEXSaneparOriginal!$B$4:$AH$177,33,0)</f>
        <v>0</v>
      </c>
      <c r="T68" s="157">
        <f t="shared" si="157"/>
        <v>3281698.5700000003</v>
      </c>
      <c r="U68" s="156">
        <f>VLOOKUP(A68,AuxOPEXSaneparOriginal!$B$4:$AI$177,34,0)</f>
        <v>161265.72999999998</v>
      </c>
      <c r="V68" s="156">
        <f>VLOOKUP(A68,AuxOPEXSaneparOriginal!$B$4:$AJ$177,35,0)</f>
        <v>405574.66000000009</v>
      </c>
      <c r="W68" s="156">
        <f>VLOOKUP(A68,AuxOPEXSaneparOriginal!$B$4:$AK$177,36,0)</f>
        <v>831765.8400000002</v>
      </c>
      <c r="X68" s="19">
        <f>+VLOOKUP(A68,AuxOPEXSaneparOriginal!$B$4:$AL$177,37,0)</f>
        <v>144077.47999999995</v>
      </c>
      <c r="Y68" s="146">
        <f>VLOOKUP(A68,AuxOPEXSaneparOriginal!$B$4:$AM$177,38,0)</f>
        <v>108305.74</v>
      </c>
      <c r="Z68" s="146">
        <f>VLOOKUP(A68,AuxOPEXSaneparOriginal!$B$4:$AN$177,39,0)</f>
        <v>631673.90999999992</v>
      </c>
      <c r="AA68" s="146">
        <f>VLOOKUP(A68,AuxOPEXSaneparOriginal!$B$4:$AO$177,40,0)</f>
        <v>0</v>
      </c>
      <c r="AB68" s="157">
        <f t="shared" si="158"/>
        <v>2282663.3600000003</v>
      </c>
      <c r="AC68" s="156">
        <f>VLOOKUP(A68,AuxOPEXSaneparOriginal!$B$4:$AP$177,41,0)</f>
        <v>178217.45000000004</v>
      </c>
      <c r="AD68" s="156">
        <f>+VLOOKUP(A68,AuxOPEXSaneparOriginal!$B$4:$AQ$177,42,0)</f>
        <v>280201.03999999998</v>
      </c>
      <c r="AE68" s="156">
        <f>VLOOKUP(A68,AuxOPEXSaneparOriginal!$B$4:$AR$177,43,0)</f>
        <v>1439137.78</v>
      </c>
      <c r="AF68" s="156">
        <f>+VLOOKUP(A68,AuxOPEXSaneparOriginal!$B$4:$AS$177,44,0)</f>
        <v>150689.27000000002</v>
      </c>
      <c r="AG68" s="146">
        <f>VLOOKUP(A68,AuxOPEXSaneparOriginal!$B$4:$AT$177,45,0)</f>
        <v>49835.429999999993</v>
      </c>
      <c r="AH68" s="146">
        <f>VLOOKUP(A68,AuxOPEXSaneparOriginal!$B$4:$AU$177,46,0)</f>
        <v>1383716.1800000002</v>
      </c>
      <c r="AI68" s="146">
        <f>VLOOKUP(A68,AuxOPEXSaneparOriginal!$B$4:$AV$177,47,0)</f>
        <v>0</v>
      </c>
      <c r="AJ68" s="157">
        <f t="shared" si="159"/>
        <v>3481797.1500000004</v>
      </c>
      <c r="AK68" s="157">
        <f t="shared" si="54"/>
        <v>3368309.4700000007</v>
      </c>
      <c r="AL68" s="157">
        <f t="shared" si="55"/>
        <v>2882230.2550000004</v>
      </c>
      <c r="AM68" s="144"/>
      <c r="AN68" s="167">
        <f t="shared" si="160"/>
        <v>279172.42</v>
      </c>
      <c r="AO68" s="168">
        <f t="shared" si="161"/>
        <v>889532.71</v>
      </c>
      <c r="AP68" s="57">
        <f t="shared" si="162"/>
        <v>1108807.8199999998</v>
      </c>
      <c r="AQ68" s="57">
        <f t="shared" si="163"/>
        <v>206460.03000000006</v>
      </c>
      <c r="AR68" s="57">
        <f t="shared" si="164"/>
        <v>216742.72</v>
      </c>
      <c r="AS68" s="57">
        <f t="shared" si="165"/>
        <v>1726363.0999999999</v>
      </c>
      <c r="AT68" s="57">
        <f t="shared" si="166"/>
        <v>0</v>
      </c>
      <c r="AU68" s="157">
        <f t="shared" si="167"/>
        <v>4427078.8</v>
      </c>
      <c r="AV68" s="57">
        <f t="shared" si="168"/>
        <v>195914.73</v>
      </c>
      <c r="AW68" s="57">
        <f t="shared" si="169"/>
        <v>624660.18000000005</v>
      </c>
      <c r="AX68" s="57">
        <f t="shared" si="170"/>
        <v>1034475.6299999999</v>
      </c>
      <c r="AY68" s="57">
        <f t="shared" si="171"/>
        <v>202970.30999999997</v>
      </c>
      <c r="AZ68" s="57">
        <f t="shared" si="172"/>
        <v>126501.86</v>
      </c>
      <c r="BA68" s="57">
        <f t="shared" si="173"/>
        <v>1097175.8600000001</v>
      </c>
      <c r="BB68" s="57">
        <f t="shared" si="174"/>
        <v>0</v>
      </c>
      <c r="BC68" s="157">
        <f t="shared" si="175"/>
        <v>3281698.5700000003</v>
      </c>
      <c r="BD68" s="57">
        <f t="shared" si="176"/>
        <v>161265.72999999998</v>
      </c>
      <c r="BE68" s="57">
        <f t="shared" si="177"/>
        <v>405574.66000000009</v>
      </c>
      <c r="BF68" s="57">
        <f t="shared" si="178"/>
        <v>831765.8400000002</v>
      </c>
      <c r="BG68" s="57">
        <f t="shared" si="179"/>
        <v>144077.47999999995</v>
      </c>
      <c r="BH68" s="57">
        <f t="shared" si="180"/>
        <v>108305.74</v>
      </c>
      <c r="BI68" s="57">
        <f t="shared" si="181"/>
        <v>631673.90999999992</v>
      </c>
      <c r="BJ68" s="57">
        <f t="shared" si="182"/>
        <v>0</v>
      </c>
      <c r="BK68" s="157">
        <f t="shared" si="183"/>
        <v>2282663.3600000003</v>
      </c>
      <c r="BL68" s="57">
        <f t="shared" si="111"/>
        <v>178217.45000000004</v>
      </c>
      <c r="BM68" s="57">
        <f t="shared" si="112"/>
        <v>280201.03999999998</v>
      </c>
      <c r="BN68" s="57">
        <f t="shared" si="113"/>
        <v>1439137.78</v>
      </c>
      <c r="BO68" s="57">
        <f t="shared" si="114"/>
        <v>150689.27000000002</v>
      </c>
      <c r="BP68" s="57">
        <f t="shared" si="115"/>
        <v>49835.429999999993</v>
      </c>
      <c r="BQ68" s="57">
        <f t="shared" si="116"/>
        <v>1383716.1800000002</v>
      </c>
      <c r="BR68" s="57">
        <f t="shared" si="117"/>
        <v>0</v>
      </c>
      <c r="BS68" s="157">
        <f t="shared" si="184"/>
        <v>3481797.1500000004</v>
      </c>
      <c r="BT68" s="157">
        <f t="shared" si="73"/>
        <v>3368309.4700000007</v>
      </c>
      <c r="BU68" s="157">
        <f t="shared" si="74"/>
        <v>2882230.2550000004</v>
      </c>
      <c r="BV68" s="144"/>
      <c r="BW68" s="158">
        <f t="shared" si="185"/>
        <v>4427078.8</v>
      </c>
      <c r="BX68" s="159">
        <f t="shared" si="186"/>
        <v>3281698.5700000003</v>
      </c>
      <c r="BY68" s="159">
        <f t="shared" si="187"/>
        <v>2282663.3600000003</v>
      </c>
      <c r="BZ68" s="159">
        <f t="shared" si="188"/>
        <v>3481797.1500000004</v>
      </c>
      <c r="CA68" s="158">
        <f t="shared" si="189"/>
        <v>3368309.47</v>
      </c>
      <c r="CB68" s="157">
        <f t="shared" si="190"/>
        <v>3381747.8600000003</v>
      </c>
      <c r="CC68" s="144"/>
      <c r="CD68" s="158">
        <f t="shared" si="191"/>
        <v>5029107.9491465194</v>
      </c>
      <c r="CE68" s="159">
        <f t="shared" si="192"/>
        <v>3583005.4270155514</v>
      </c>
      <c r="CF68" s="159">
        <f t="shared" si="193"/>
        <v>2413215.4972821441</v>
      </c>
      <c r="CG68" s="159">
        <f t="shared" si="194"/>
        <v>3481797.1500000004</v>
      </c>
      <c r="CH68" s="158">
        <f t="shared" si="195"/>
        <v>3626781.5058610537</v>
      </c>
      <c r="CI68" s="157">
        <f t="shared" si="196"/>
        <v>3532401.2885077759</v>
      </c>
      <c r="CK68" s="61">
        <f t="shared" si="197"/>
        <v>-0.28754652649211543</v>
      </c>
      <c r="CL68" s="62">
        <f t="shared" si="198"/>
        <v>-0.32648287968343337</v>
      </c>
      <c r="CM68" s="63">
        <f t="shared" si="199"/>
        <v>0.4428040736193406</v>
      </c>
      <c r="CN68" s="61">
        <f t="shared" si="200"/>
        <v>-0.30767102531754364</v>
      </c>
      <c r="CO68" s="29"/>
      <c r="CP68" s="61">
        <f t="shared" si="201"/>
        <v>2.1185862116327755E-3</v>
      </c>
      <c r="CQ68" s="62">
        <f t="shared" si="202"/>
        <v>1.542789215979098E-3</v>
      </c>
      <c r="CR68" s="63">
        <f t="shared" si="203"/>
        <v>1.0021438619866843E-3</v>
      </c>
      <c r="CS68" s="61">
        <f t="shared" si="204"/>
        <v>1.4386203833920382E-3</v>
      </c>
      <c r="CU68" s="60">
        <f t="shared" si="86"/>
        <v>100</v>
      </c>
      <c r="CV68" s="132">
        <f t="shared" si="87"/>
        <v>71.245347350788464</v>
      </c>
      <c r="CW68" s="132">
        <f t="shared" si="88"/>
        <v>47.984961183656566</v>
      </c>
      <c r="CX68" s="131">
        <f t="shared" si="89"/>
        <v>69.232897468245639</v>
      </c>
    </row>
    <row r="69" spans="1:102">
      <c r="A69" s="29">
        <v>212</v>
      </c>
      <c r="B69" s="29" t="s">
        <v>3</v>
      </c>
      <c r="C69" s="55" t="s">
        <v>99</v>
      </c>
      <c r="D69" s="56">
        <v>0</v>
      </c>
      <c r="E69" s="57">
        <f>VLOOKUP(A69,AuxOPEXSaneparOriginal!$B$4:$F$177,3,0)</f>
        <v>954893.9500000003</v>
      </c>
      <c r="F69" s="156">
        <f>VLOOKUP(A69,AuxOPEXSaneparOriginal!$B$4:$F$177,4,0)</f>
        <v>2249167.5000000014</v>
      </c>
      <c r="G69" s="57">
        <f>VLOOKUP(A69,AuxOPEXSaneparOriginal!$B$4:$K$177,8,0)</f>
        <v>1021699.57</v>
      </c>
      <c r="H69" s="156">
        <f>VLOOKUP(A69,AuxOPEXSaneparOriginal!$B$4:$K$177,9,0)</f>
        <v>188986.50999999998</v>
      </c>
      <c r="I69" s="57">
        <f>VLOOKUP(A69,AuxOPEXSaneparOriginal!$B$4:$N$177,13,0)</f>
        <v>441401.62</v>
      </c>
      <c r="J69" s="57">
        <f>VLOOKUP(A69,AuxOPEXSaneparOriginal!$B$4:$Q$177,16,0)</f>
        <v>10097413.530000001</v>
      </c>
      <c r="K69" s="57">
        <f>VLOOKUP(A69,AuxOPEXSaneparOriginal!$B$4:$V$177,21,0)</f>
        <v>0</v>
      </c>
      <c r="L69" s="157">
        <f t="shared" si="156"/>
        <v>14953562.680000003</v>
      </c>
      <c r="M69" s="19">
        <f>VLOOKUP(A69,AuxOPEXSaneparOriginal!$B$4:$AB$177,27,0)</f>
        <v>959886.57000000007</v>
      </c>
      <c r="N69" s="156">
        <f>VLOOKUP(A69,AuxOPEXSaneparOriginal!$B$4:$AC$177,28,0)</f>
        <v>2157979.5699999994</v>
      </c>
      <c r="O69" s="156">
        <f>VLOOKUP(A69,AuxOPEXSaneparOriginal!$B$4:$AD$177,29,0)</f>
        <v>1052232.56</v>
      </c>
      <c r="P69" s="156">
        <f>VLOOKUP(A69,AuxOPEXSaneparOriginal!$B$4:$AE$177,30,0)</f>
        <v>181072.23000000004</v>
      </c>
      <c r="Q69" s="146">
        <f>VLOOKUP(A69,AuxOPEXSaneparOriginal!$B$4:$AF$177,31,0)</f>
        <v>541900.94000000018</v>
      </c>
      <c r="R69" s="146">
        <f>VLOOKUP(A69,AuxOPEXSaneparOriginal!$B$4:$AG$177,32,0)</f>
        <v>11749253.380000003</v>
      </c>
      <c r="S69" s="146">
        <f>VLOOKUP(A69,AuxOPEXSaneparOriginal!$B$4:$AH$177,33,0)</f>
        <v>0</v>
      </c>
      <c r="T69" s="157">
        <f t="shared" si="157"/>
        <v>16642325.250000004</v>
      </c>
      <c r="U69" s="156">
        <f>VLOOKUP(A69,AuxOPEXSaneparOriginal!$B$4:$AI$177,34,0)</f>
        <v>909321.50000000012</v>
      </c>
      <c r="V69" s="156">
        <f>VLOOKUP(A69,AuxOPEXSaneparOriginal!$B$4:$AJ$177,35,0)</f>
        <v>2384657.5699999998</v>
      </c>
      <c r="W69" s="156">
        <f>VLOOKUP(A69,AuxOPEXSaneparOriginal!$B$4:$AK$177,36,0)</f>
        <v>1085113.4899999998</v>
      </c>
      <c r="X69" s="19">
        <f>+VLOOKUP(A69,AuxOPEXSaneparOriginal!$B$4:$AL$177,37,0)</f>
        <v>233995.42999999996</v>
      </c>
      <c r="Y69" s="146">
        <f>VLOOKUP(A69,AuxOPEXSaneparOriginal!$B$4:$AM$177,38,0)</f>
        <v>790750.86000000034</v>
      </c>
      <c r="Z69" s="146">
        <f>VLOOKUP(A69,AuxOPEXSaneparOriginal!$B$4:$AN$177,39,0)</f>
        <v>11810481.880000001</v>
      </c>
      <c r="AA69" s="146">
        <f>VLOOKUP(A69,AuxOPEXSaneparOriginal!$B$4:$AO$177,40,0)</f>
        <v>0</v>
      </c>
      <c r="AB69" s="157">
        <f t="shared" si="158"/>
        <v>17214320.73</v>
      </c>
      <c r="AC69" s="156">
        <f>VLOOKUP(A69,AuxOPEXSaneparOriginal!$B$4:$AP$177,41,0)</f>
        <v>952367.8899999999</v>
      </c>
      <c r="AD69" s="156">
        <f>+VLOOKUP(A69,AuxOPEXSaneparOriginal!$B$4:$AQ$177,42,0)</f>
        <v>2480618.1599999992</v>
      </c>
      <c r="AE69" s="156">
        <f>VLOOKUP(A69,AuxOPEXSaneparOriginal!$B$4:$AR$177,43,0)</f>
        <v>1049469.67</v>
      </c>
      <c r="AF69" s="156">
        <f>+VLOOKUP(A69,AuxOPEXSaneparOriginal!$B$4:$AS$177,44,0)</f>
        <v>387640.69</v>
      </c>
      <c r="AG69" s="146">
        <f>VLOOKUP(A69,AuxOPEXSaneparOriginal!$B$4:$AT$177,45,0)</f>
        <v>475338.4099999998</v>
      </c>
      <c r="AH69" s="146">
        <f>VLOOKUP(A69,AuxOPEXSaneparOriginal!$B$4:$AU$177,46,0)</f>
        <v>9754130.8599999957</v>
      </c>
      <c r="AI69" s="146">
        <f>VLOOKUP(A69,AuxOPEXSaneparOriginal!$B$4:$AV$177,47,0)</f>
        <v>0</v>
      </c>
      <c r="AJ69" s="157">
        <f t="shared" si="159"/>
        <v>15099565.679999996</v>
      </c>
      <c r="AK69" s="157">
        <f t="shared" ref="AK69:AK100" si="205">AVERAGE(AJ69,AB69,T69,L69)</f>
        <v>15977443.585000001</v>
      </c>
      <c r="AL69" s="157">
        <f t="shared" ref="AL69:AL100" si="206">AVERAGE(AJ69,AB69)</f>
        <v>16156943.204999998</v>
      </c>
      <c r="AM69" s="144"/>
      <c r="AN69" s="167">
        <f t="shared" si="160"/>
        <v>954893.9500000003</v>
      </c>
      <c r="AO69" s="168">
        <f t="shared" si="161"/>
        <v>2249167.5000000014</v>
      </c>
      <c r="AP69" s="57">
        <f t="shared" si="162"/>
        <v>1021699.57</v>
      </c>
      <c r="AQ69" s="57">
        <f t="shared" si="163"/>
        <v>188986.50999999998</v>
      </c>
      <c r="AR69" s="57">
        <f t="shared" si="164"/>
        <v>441401.62</v>
      </c>
      <c r="AS69" s="57">
        <f t="shared" si="165"/>
        <v>10097413.530000001</v>
      </c>
      <c r="AT69" s="57">
        <f t="shared" si="166"/>
        <v>0</v>
      </c>
      <c r="AU69" s="157">
        <f t="shared" si="167"/>
        <v>14953562.680000003</v>
      </c>
      <c r="AV69" s="57">
        <f t="shared" si="168"/>
        <v>959886.57000000007</v>
      </c>
      <c r="AW69" s="57">
        <f t="shared" si="169"/>
        <v>2157979.5699999994</v>
      </c>
      <c r="AX69" s="57">
        <f t="shared" si="170"/>
        <v>1052232.56</v>
      </c>
      <c r="AY69" s="57">
        <f t="shared" si="171"/>
        <v>181072.23000000004</v>
      </c>
      <c r="AZ69" s="57">
        <f t="shared" si="172"/>
        <v>541900.94000000018</v>
      </c>
      <c r="BA69" s="57">
        <f t="shared" si="173"/>
        <v>11749253.380000003</v>
      </c>
      <c r="BB69" s="57">
        <f t="shared" si="174"/>
        <v>0</v>
      </c>
      <c r="BC69" s="157">
        <f t="shared" si="175"/>
        <v>16642325.250000004</v>
      </c>
      <c r="BD69" s="57">
        <f t="shared" si="176"/>
        <v>909321.50000000012</v>
      </c>
      <c r="BE69" s="57">
        <f t="shared" si="177"/>
        <v>2384657.5699999998</v>
      </c>
      <c r="BF69" s="57">
        <f t="shared" si="178"/>
        <v>1085113.4899999998</v>
      </c>
      <c r="BG69" s="57">
        <f t="shared" si="179"/>
        <v>233995.42999999996</v>
      </c>
      <c r="BH69" s="57">
        <f t="shared" si="180"/>
        <v>790750.86000000034</v>
      </c>
      <c r="BI69" s="57">
        <f t="shared" si="181"/>
        <v>11810481.880000001</v>
      </c>
      <c r="BJ69" s="57">
        <f t="shared" si="182"/>
        <v>0</v>
      </c>
      <c r="BK69" s="157">
        <f t="shared" si="183"/>
        <v>17214320.73</v>
      </c>
      <c r="BL69" s="57">
        <f t="shared" si="111"/>
        <v>952367.8899999999</v>
      </c>
      <c r="BM69" s="57">
        <f t="shared" si="112"/>
        <v>2480618.1599999992</v>
      </c>
      <c r="BN69" s="57">
        <f t="shared" si="113"/>
        <v>1049469.67</v>
      </c>
      <c r="BO69" s="57">
        <f t="shared" si="114"/>
        <v>387640.69</v>
      </c>
      <c r="BP69" s="57">
        <f t="shared" si="115"/>
        <v>475338.4099999998</v>
      </c>
      <c r="BQ69" s="57">
        <f t="shared" si="116"/>
        <v>9754130.8599999957</v>
      </c>
      <c r="BR69" s="57">
        <f t="shared" si="117"/>
        <v>0</v>
      </c>
      <c r="BS69" s="157">
        <f t="shared" si="184"/>
        <v>15099565.679999996</v>
      </c>
      <c r="BT69" s="157">
        <f t="shared" si="73"/>
        <v>15977443.585000001</v>
      </c>
      <c r="BU69" s="157">
        <f t="shared" si="74"/>
        <v>16156943.204999998</v>
      </c>
      <c r="BV69" s="144"/>
      <c r="BW69" s="158">
        <f t="shared" si="185"/>
        <v>14953562.680000003</v>
      </c>
      <c r="BX69" s="159">
        <f t="shared" si="186"/>
        <v>16642325.250000004</v>
      </c>
      <c r="BY69" s="159">
        <f t="shared" si="187"/>
        <v>17214320.73</v>
      </c>
      <c r="BZ69" s="159">
        <f t="shared" si="188"/>
        <v>15099565.679999996</v>
      </c>
      <c r="CA69" s="158">
        <f t="shared" si="189"/>
        <v>15977443.585000001</v>
      </c>
      <c r="CB69" s="157">
        <f t="shared" si="190"/>
        <v>15870945.465</v>
      </c>
      <c r="CC69" s="144"/>
      <c r="CD69" s="158">
        <f t="shared" si="191"/>
        <v>16987066.266371574</v>
      </c>
      <c r="CE69" s="159">
        <f t="shared" si="192"/>
        <v>18170328.69320108</v>
      </c>
      <c r="CF69" s="159">
        <f t="shared" si="193"/>
        <v>18198857.654078819</v>
      </c>
      <c r="CG69" s="159">
        <f t="shared" si="194"/>
        <v>15099565.679999996</v>
      </c>
      <c r="CH69" s="158">
        <f t="shared" si="195"/>
        <v>17113954.573412869</v>
      </c>
      <c r="CI69" s="157">
        <f t="shared" si="196"/>
        <v>17578697.479786329</v>
      </c>
      <c r="CK69" s="61">
        <f t="shared" si="197"/>
        <v>6.9656667506616587E-2</v>
      </c>
      <c r="CL69" s="62">
        <f t="shared" si="198"/>
        <v>1.5700850193434146E-3</v>
      </c>
      <c r="CM69" s="63">
        <f t="shared" si="199"/>
        <v>-0.17030145699195542</v>
      </c>
      <c r="CN69" s="61">
        <f t="shared" si="200"/>
        <v>-0.11111398264856165</v>
      </c>
      <c r="CO69" s="29"/>
      <c r="CP69" s="61">
        <f t="shared" si="201"/>
        <v>7.1560532666900944E-3</v>
      </c>
      <c r="CQ69" s="62">
        <f t="shared" si="202"/>
        <v>7.823875160026245E-3</v>
      </c>
      <c r="CR69" s="63">
        <f t="shared" si="203"/>
        <v>7.5574989112015354E-3</v>
      </c>
      <c r="CS69" s="61">
        <f t="shared" si="204"/>
        <v>6.2388881464891929E-3</v>
      </c>
      <c r="CU69" s="60">
        <f t="shared" ref="CU69:CU100" si="207">IFERROR(+CD69/$CD69*100,0)</f>
        <v>100</v>
      </c>
      <c r="CV69" s="132">
        <f t="shared" ref="CV69:CV100" si="208">IFERROR(+CE69/$CD69*100,0)</f>
        <v>106.96566675066165</v>
      </c>
      <c r="CW69" s="132">
        <f t="shared" ref="CW69:CW100" si="209">IFERROR(+CF69/$CD69*100,0)</f>
        <v>107.13361194161092</v>
      </c>
      <c r="CX69" s="131">
        <f t="shared" ref="CX69:CX100" si="210">IFERROR(+CG69/$CD69*100,0)</f>
        <v>88.888601735143837</v>
      </c>
    </row>
    <row r="70" spans="1:102">
      <c r="A70" s="29">
        <v>213</v>
      </c>
      <c r="B70" s="29" t="s">
        <v>3</v>
      </c>
      <c r="C70" s="55" t="s">
        <v>100</v>
      </c>
      <c r="D70" s="56">
        <v>0</v>
      </c>
      <c r="E70" s="57">
        <f>VLOOKUP(A70,AuxOPEXSaneparOriginal!$B$4:$F$177,3,0)</f>
        <v>7018.3700000000008</v>
      </c>
      <c r="F70" s="156">
        <f>VLOOKUP(A70,AuxOPEXSaneparOriginal!$B$4:$F$177,4,0)</f>
        <v>4335.9799999999996</v>
      </c>
      <c r="G70" s="57">
        <f>VLOOKUP(A70,AuxOPEXSaneparOriginal!$B$4:$K$177,8,0)</f>
        <v>58.5</v>
      </c>
      <c r="H70" s="156">
        <f>VLOOKUP(A70,AuxOPEXSaneparOriginal!$B$4:$K$177,9,0)</f>
        <v>652.5</v>
      </c>
      <c r="I70" s="57">
        <f>VLOOKUP(A70,AuxOPEXSaneparOriginal!$B$4:$N$177,13,0)</f>
        <v>14987.96</v>
      </c>
      <c r="J70" s="57">
        <f>VLOOKUP(A70,AuxOPEXSaneparOriginal!$B$4:$Q$177,16,0)</f>
        <v>38254.379999999997</v>
      </c>
      <c r="K70" s="57">
        <f>VLOOKUP(A70,AuxOPEXSaneparOriginal!$B$4:$V$177,21,0)</f>
        <v>0</v>
      </c>
      <c r="L70" s="157">
        <f t="shared" si="156"/>
        <v>65307.689999999995</v>
      </c>
      <c r="M70" s="19">
        <f>VLOOKUP(A70,AuxOPEXSaneparOriginal!$B$4:$AB$177,27,0)</f>
        <v>12433.34</v>
      </c>
      <c r="N70" s="156">
        <f>VLOOKUP(A70,AuxOPEXSaneparOriginal!$B$4:$AC$177,28,0)</f>
        <v>7239.32</v>
      </c>
      <c r="O70" s="156">
        <f>VLOOKUP(A70,AuxOPEXSaneparOriginal!$B$4:$AD$177,29,0)</f>
        <v>525.29999999999995</v>
      </c>
      <c r="P70" s="156">
        <f>VLOOKUP(A70,AuxOPEXSaneparOriginal!$B$4:$AE$177,30,0)</f>
        <v>4115.8999999999996</v>
      </c>
      <c r="Q70" s="146">
        <f>VLOOKUP(A70,AuxOPEXSaneparOriginal!$B$4:$AF$177,31,0)</f>
        <v>1540.27</v>
      </c>
      <c r="R70" s="146">
        <f>VLOOKUP(A70,AuxOPEXSaneparOriginal!$B$4:$AG$177,32,0)</f>
        <v>22446.36</v>
      </c>
      <c r="S70" s="146">
        <f>VLOOKUP(A70,AuxOPEXSaneparOriginal!$B$4:$AH$177,33,0)</f>
        <v>0</v>
      </c>
      <c r="T70" s="157">
        <f t="shared" si="157"/>
        <v>48300.490000000005</v>
      </c>
      <c r="U70" s="156">
        <f>VLOOKUP(A70,AuxOPEXSaneparOriginal!$B$4:$AI$177,34,0)</f>
        <v>50109.179999999978</v>
      </c>
      <c r="V70" s="156">
        <f>VLOOKUP(A70,AuxOPEXSaneparOriginal!$B$4:$AJ$177,35,0)</f>
        <v>30152.42</v>
      </c>
      <c r="W70" s="156">
        <f>VLOOKUP(A70,AuxOPEXSaneparOriginal!$B$4:$AK$177,36,0)</f>
        <v>66</v>
      </c>
      <c r="X70" s="19">
        <f>+VLOOKUP(A70,AuxOPEXSaneparOriginal!$B$4:$AL$177,37,0)</f>
        <v>6228</v>
      </c>
      <c r="Y70" s="146">
        <f>VLOOKUP(A70,AuxOPEXSaneparOriginal!$B$4:$AM$177,38,0)</f>
        <v>3484.67</v>
      </c>
      <c r="Z70" s="146">
        <f>VLOOKUP(A70,AuxOPEXSaneparOriginal!$B$4:$AN$177,39,0)</f>
        <v>81887.97</v>
      </c>
      <c r="AA70" s="146">
        <f>VLOOKUP(A70,AuxOPEXSaneparOriginal!$B$4:$AO$177,40,0)</f>
        <v>0</v>
      </c>
      <c r="AB70" s="157">
        <f t="shared" si="158"/>
        <v>171928.24</v>
      </c>
      <c r="AC70" s="156">
        <f>VLOOKUP(A70,AuxOPEXSaneparOriginal!$B$4:$AP$177,41,0)</f>
        <v>4186.3500000000004</v>
      </c>
      <c r="AD70" s="156">
        <f>+VLOOKUP(A70,AuxOPEXSaneparOriginal!$B$4:$AQ$177,42,0)</f>
        <v>8800.0600000000013</v>
      </c>
      <c r="AE70" s="156">
        <f>VLOOKUP(A70,AuxOPEXSaneparOriginal!$B$4:$AR$177,43,0)</f>
        <v>221.8</v>
      </c>
      <c r="AF70" s="156">
        <f>+VLOOKUP(A70,AuxOPEXSaneparOriginal!$B$4:$AS$177,44,0)</f>
        <v>4726.7999999999993</v>
      </c>
      <c r="AG70" s="146">
        <f>VLOOKUP(A70,AuxOPEXSaneparOriginal!$B$4:$AT$177,45,0)</f>
        <v>5799.8</v>
      </c>
      <c r="AH70" s="146">
        <f>VLOOKUP(A70,AuxOPEXSaneparOriginal!$B$4:$AU$177,46,0)</f>
        <v>27803.7</v>
      </c>
      <c r="AI70" s="146">
        <f>VLOOKUP(A70,AuxOPEXSaneparOriginal!$B$4:$AV$177,47,0)</f>
        <v>0</v>
      </c>
      <c r="AJ70" s="157">
        <f t="shared" si="159"/>
        <v>51538.51</v>
      </c>
      <c r="AK70" s="157">
        <f t="shared" si="205"/>
        <v>84268.732499999998</v>
      </c>
      <c r="AL70" s="157">
        <f t="shared" si="206"/>
        <v>111733.375</v>
      </c>
      <c r="AM70" s="144"/>
      <c r="AN70" s="167">
        <f t="shared" si="160"/>
        <v>7018.3700000000008</v>
      </c>
      <c r="AO70" s="168">
        <f t="shared" si="161"/>
        <v>4335.9799999999996</v>
      </c>
      <c r="AP70" s="57">
        <f t="shared" si="162"/>
        <v>58.5</v>
      </c>
      <c r="AQ70" s="57">
        <f t="shared" si="163"/>
        <v>652.5</v>
      </c>
      <c r="AR70" s="57">
        <f t="shared" si="164"/>
        <v>14987.96</v>
      </c>
      <c r="AS70" s="57">
        <f t="shared" si="165"/>
        <v>38254.379999999997</v>
      </c>
      <c r="AT70" s="57">
        <f t="shared" si="166"/>
        <v>0</v>
      </c>
      <c r="AU70" s="157">
        <f t="shared" si="167"/>
        <v>65307.689999999995</v>
      </c>
      <c r="AV70" s="57">
        <f t="shared" si="168"/>
        <v>12433.34</v>
      </c>
      <c r="AW70" s="57">
        <f t="shared" si="169"/>
        <v>7239.32</v>
      </c>
      <c r="AX70" s="57">
        <f t="shared" si="170"/>
        <v>525.29999999999995</v>
      </c>
      <c r="AY70" s="57">
        <f t="shared" si="171"/>
        <v>4115.8999999999996</v>
      </c>
      <c r="AZ70" s="57">
        <f t="shared" si="172"/>
        <v>1540.27</v>
      </c>
      <c r="BA70" s="57">
        <f t="shared" si="173"/>
        <v>22446.36</v>
      </c>
      <c r="BB70" s="57">
        <f t="shared" si="174"/>
        <v>0</v>
      </c>
      <c r="BC70" s="157">
        <f t="shared" si="175"/>
        <v>48300.490000000005</v>
      </c>
      <c r="BD70" s="57">
        <f t="shared" si="176"/>
        <v>50109.179999999978</v>
      </c>
      <c r="BE70" s="57">
        <f t="shared" si="177"/>
        <v>30152.42</v>
      </c>
      <c r="BF70" s="57">
        <f t="shared" si="178"/>
        <v>66</v>
      </c>
      <c r="BG70" s="57">
        <f t="shared" si="179"/>
        <v>6228</v>
      </c>
      <c r="BH70" s="57">
        <f t="shared" si="180"/>
        <v>3484.67</v>
      </c>
      <c r="BI70" s="57">
        <f t="shared" si="181"/>
        <v>81887.97</v>
      </c>
      <c r="BJ70" s="57">
        <f t="shared" si="182"/>
        <v>0</v>
      </c>
      <c r="BK70" s="157">
        <f t="shared" si="183"/>
        <v>171928.24</v>
      </c>
      <c r="BL70" s="57">
        <f t="shared" si="111"/>
        <v>4186.3500000000004</v>
      </c>
      <c r="BM70" s="57">
        <f t="shared" si="112"/>
        <v>8800.0600000000013</v>
      </c>
      <c r="BN70" s="57">
        <f t="shared" si="113"/>
        <v>221.8</v>
      </c>
      <c r="BO70" s="57">
        <f t="shared" si="114"/>
        <v>4726.7999999999993</v>
      </c>
      <c r="BP70" s="57">
        <f t="shared" si="115"/>
        <v>5799.8</v>
      </c>
      <c r="BQ70" s="57">
        <f t="shared" si="116"/>
        <v>27803.7</v>
      </c>
      <c r="BR70" s="57">
        <f t="shared" si="117"/>
        <v>0</v>
      </c>
      <c r="BS70" s="157">
        <f t="shared" si="184"/>
        <v>51538.51</v>
      </c>
      <c r="BT70" s="157">
        <f t="shared" si="73"/>
        <v>84268.732499999998</v>
      </c>
      <c r="BU70" s="157">
        <f t="shared" si="74"/>
        <v>111733.375</v>
      </c>
      <c r="BV70" s="144"/>
      <c r="BW70" s="158">
        <f t="shared" si="185"/>
        <v>65307.689999999995</v>
      </c>
      <c r="BX70" s="159">
        <f t="shared" si="186"/>
        <v>48300.490000000005</v>
      </c>
      <c r="BY70" s="159">
        <f t="shared" si="187"/>
        <v>171928.24</v>
      </c>
      <c r="BZ70" s="159">
        <f t="shared" si="188"/>
        <v>51538.51</v>
      </c>
      <c r="CA70" s="158">
        <f t="shared" si="189"/>
        <v>84268.732499999998</v>
      </c>
      <c r="CB70" s="157">
        <f t="shared" si="190"/>
        <v>58423.1</v>
      </c>
      <c r="CC70" s="144"/>
      <c r="CD70" s="158">
        <f t="shared" si="191"/>
        <v>74188.745616950997</v>
      </c>
      <c r="CE70" s="159">
        <f t="shared" si="192"/>
        <v>52735.165679007005</v>
      </c>
      <c r="CF70" s="159">
        <f t="shared" si="193"/>
        <v>181761.31463749599</v>
      </c>
      <c r="CG70" s="159">
        <f t="shared" si="194"/>
        <v>51538.51</v>
      </c>
      <c r="CH70" s="158">
        <f t="shared" si="195"/>
        <v>90055.933983363502</v>
      </c>
      <c r="CI70" s="157">
        <f t="shared" si="196"/>
        <v>63461.955647979004</v>
      </c>
      <c r="CK70" s="61">
        <f t="shared" si="197"/>
        <v>-0.289175666194876</v>
      </c>
      <c r="CL70" s="62">
        <f t="shared" si="198"/>
        <v>2.446681399350418</v>
      </c>
      <c r="CM70" s="63">
        <f t="shared" si="199"/>
        <v>-0.71644950905648874</v>
      </c>
      <c r="CN70" s="61">
        <f t="shared" si="200"/>
        <v>-0.30530554774302265</v>
      </c>
      <c r="CO70" s="29"/>
      <c r="CP70" s="61">
        <f t="shared" si="201"/>
        <v>3.125310792922586E-5</v>
      </c>
      <c r="CQ70" s="62">
        <f t="shared" si="202"/>
        <v>2.2706983444401556E-5</v>
      </c>
      <c r="CR70" s="63">
        <f t="shared" si="203"/>
        <v>7.5480613320999513E-5</v>
      </c>
      <c r="CS70" s="61">
        <f t="shared" si="204"/>
        <v>2.1294850854724374E-5</v>
      </c>
      <c r="CU70" s="60">
        <f t="shared" si="207"/>
        <v>100</v>
      </c>
      <c r="CV70" s="132">
        <f t="shared" si="208"/>
        <v>71.082433380512398</v>
      </c>
      <c r="CW70" s="132">
        <f t="shared" si="209"/>
        <v>244.99850095317734</v>
      </c>
      <c r="CX70" s="131">
        <f t="shared" si="210"/>
        <v>69.46944522569774</v>
      </c>
    </row>
    <row r="71" spans="1:102">
      <c r="A71" s="29">
        <v>214</v>
      </c>
      <c r="B71" s="29" t="s">
        <v>3</v>
      </c>
      <c r="C71" s="55" t="s">
        <v>101</v>
      </c>
      <c r="D71" s="56">
        <v>0</v>
      </c>
      <c r="E71" s="57">
        <f>VLOOKUP(A71,AuxOPEXSaneparOriginal!$B$4:$F$177,3,0)</f>
        <v>302704.86999999988</v>
      </c>
      <c r="F71" s="156">
        <f>VLOOKUP(A71,AuxOPEXSaneparOriginal!$B$4:$F$177,4,0)</f>
        <v>288868.31000000006</v>
      </c>
      <c r="G71" s="57">
        <f>VLOOKUP(A71,AuxOPEXSaneparOriginal!$B$4:$K$177,8,0)</f>
        <v>14123.75</v>
      </c>
      <c r="H71" s="156">
        <f>VLOOKUP(A71,AuxOPEXSaneparOriginal!$B$4:$K$177,9,0)</f>
        <v>220504.18000000002</v>
      </c>
      <c r="I71" s="57">
        <f>VLOOKUP(A71,AuxOPEXSaneparOriginal!$B$4:$N$177,13,0)</f>
        <v>647949.86999999988</v>
      </c>
      <c r="J71" s="57">
        <f>VLOOKUP(A71,AuxOPEXSaneparOriginal!$B$4:$Q$177,16,0)</f>
        <v>1817997.7</v>
      </c>
      <c r="K71" s="57">
        <f>VLOOKUP(A71,AuxOPEXSaneparOriginal!$B$4:$V$177,21,0)</f>
        <v>0</v>
      </c>
      <c r="L71" s="157">
        <f t="shared" si="156"/>
        <v>3292148.6799999997</v>
      </c>
      <c r="M71" s="19">
        <f>VLOOKUP(A71,AuxOPEXSaneparOriginal!$B$4:$AB$177,27,0)</f>
        <v>382723.88000000018</v>
      </c>
      <c r="N71" s="156">
        <f>VLOOKUP(A71,AuxOPEXSaneparOriginal!$B$4:$AC$177,28,0)</f>
        <v>910974.7799999998</v>
      </c>
      <c r="O71" s="156">
        <f>VLOOKUP(A71,AuxOPEXSaneparOriginal!$B$4:$AD$177,29,0)</f>
        <v>476213.31999999995</v>
      </c>
      <c r="P71" s="156">
        <f>VLOOKUP(A71,AuxOPEXSaneparOriginal!$B$4:$AE$177,30,0)</f>
        <v>249384.7699999999</v>
      </c>
      <c r="Q71" s="146">
        <f>VLOOKUP(A71,AuxOPEXSaneparOriginal!$B$4:$AF$177,31,0)</f>
        <v>115650.79000000001</v>
      </c>
      <c r="R71" s="146">
        <f>VLOOKUP(A71,AuxOPEXSaneparOriginal!$B$4:$AG$177,32,0)</f>
        <v>1895028.4699999997</v>
      </c>
      <c r="S71" s="146">
        <f>VLOOKUP(A71,AuxOPEXSaneparOriginal!$B$4:$AH$177,33,0)</f>
        <v>0</v>
      </c>
      <c r="T71" s="157">
        <f t="shared" si="157"/>
        <v>4029976.01</v>
      </c>
      <c r="U71" s="156">
        <f>VLOOKUP(A71,AuxOPEXSaneparOriginal!$B$4:$AI$177,34,0)</f>
        <v>327362.85000000009</v>
      </c>
      <c r="V71" s="156">
        <f>VLOOKUP(A71,AuxOPEXSaneparOriginal!$B$4:$AJ$177,35,0)</f>
        <v>901905.08</v>
      </c>
      <c r="W71" s="156">
        <f>VLOOKUP(A71,AuxOPEXSaneparOriginal!$B$4:$AK$177,36,0)</f>
        <v>13408.07</v>
      </c>
      <c r="X71" s="19">
        <f>+VLOOKUP(A71,AuxOPEXSaneparOriginal!$B$4:$AL$177,37,0)</f>
        <v>262747.32</v>
      </c>
      <c r="Y71" s="146">
        <f>VLOOKUP(A71,AuxOPEXSaneparOriginal!$B$4:$AM$177,38,0)</f>
        <v>83585.499999999985</v>
      </c>
      <c r="Z71" s="146">
        <f>VLOOKUP(A71,AuxOPEXSaneparOriginal!$B$4:$AN$177,39,0)</f>
        <v>1654668.1400000001</v>
      </c>
      <c r="AA71" s="146">
        <f>VLOOKUP(A71,AuxOPEXSaneparOriginal!$B$4:$AO$177,40,0)</f>
        <v>0</v>
      </c>
      <c r="AB71" s="157">
        <f t="shared" si="158"/>
        <v>3243676.9600000004</v>
      </c>
      <c r="AC71" s="156">
        <f>VLOOKUP(A71,AuxOPEXSaneparOriginal!$B$4:$AP$177,41,0)</f>
        <v>548758.71999999986</v>
      </c>
      <c r="AD71" s="156">
        <f>+VLOOKUP(A71,AuxOPEXSaneparOriginal!$B$4:$AQ$177,42,0)</f>
        <v>729646.33000000007</v>
      </c>
      <c r="AE71" s="156">
        <f>VLOOKUP(A71,AuxOPEXSaneparOriginal!$B$4:$AR$177,43,0)</f>
        <v>23311.730000000003</v>
      </c>
      <c r="AF71" s="156">
        <f>+VLOOKUP(A71,AuxOPEXSaneparOriginal!$B$4:$AS$177,44,0)</f>
        <v>363177.12999999983</v>
      </c>
      <c r="AG71" s="146">
        <f>VLOOKUP(A71,AuxOPEXSaneparOriginal!$B$4:$AT$177,45,0)</f>
        <v>139472.98000000001</v>
      </c>
      <c r="AH71" s="146">
        <f>VLOOKUP(A71,AuxOPEXSaneparOriginal!$B$4:$AU$177,46,0)</f>
        <v>2277844.9899999998</v>
      </c>
      <c r="AI71" s="146">
        <f>VLOOKUP(A71,AuxOPEXSaneparOriginal!$B$4:$AV$177,47,0)</f>
        <v>0</v>
      </c>
      <c r="AJ71" s="157">
        <f t="shared" si="159"/>
        <v>4082211.8799999994</v>
      </c>
      <c r="AK71" s="157">
        <f t="shared" si="205"/>
        <v>3662003.3824999998</v>
      </c>
      <c r="AL71" s="157">
        <f t="shared" si="206"/>
        <v>3662944.42</v>
      </c>
      <c r="AM71" s="144"/>
      <c r="AN71" s="167">
        <f t="shared" si="160"/>
        <v>302704.86999999988</v>
      </c>
      <c r="AO71" s="168">
        <f t="shared" si="161"/>
        <v>288868.31000000006</v>
      </c>
      <c r="AP71" s="57">
        <f t="shared" si="162"/>
        <v>14123.75</v>
      </c>
      <c r="AQ71" s="57">
        <f t="shared" si="163"/>
        <v>220504.18000000002</v>
      </c>
      <c r="AR71" s="57">
        <f t="shared" si="164"/>
        <v>647949.86999999988</v>
      </c>
      <c r="AS71" s="57">
        <f t="shared" si="165"/>
        <v>1817997.7</v>
      </c>
      <c r="AT71" s="57">
        <f t="shared" si="166"/>
        <v>0</v>
      </c>
      <c r="AU71" s="157">
        <f t="shared" si="167"/>
        <v>3292148.6799999997</v>
      </c>
      <c r="AV71" s="57">
        <f t="shared" si="168"/>
        <v>382723.88000000018</v>
      </c>
      <c r="AW71" s="57">
        <f t="shared" si="169"/>
        <v>910974.7799999998</v>
      </c>
      <c r="AX71" s="57">
        <f t="shared" si="170"/>
        <v>476213.31999999995</v>
      </c>
      <c r="AY71" s="57">
        <f t="shared" si="171"/>
        <v>249384.7699999999</v>
      </c>
      <c r="AZ71" s="57">
        <f t="shared" si="172"/>
        <v>115650.79000000001</v>
      </c>
      <c r="BA71" s="57">
        <f t="shared" si="173"/>
        <v>1895028.4699999997</v>
      </c>
      <c r="BB71" s="57">
        <f t="shared" si="174"/>
        <v>0</v>
      </c>
      <c r="BC71" s="157">
        <f t="shared" si="175"/>
        <v>4029976.01</v>
      </c>
      <c r="BD71" s="57">
        <f t="shared" si="176"/>
        <v>327362.85000000009</v>
      </c>
      <c r="BE71" s="57">
        <f t="shared" si="177"/>
        <v>901905.08</v>
      </c>
      <c r="BF71" s="57">
        <f t="shared" si="178"/>
        <v>13408.07</v>
      </c>
      <c r="BG71" s="57">
        <f t="shared" si="179"/>
        <v>262747.32</v>
      </c>
      <c r="BH71" s="57">
        <f t="shared" si="180"/>
        <v>83585.499999999985</v>
      </c>
      <c r="BI71" s="57">
        <f t="shared" si="181"/>
        <v>1654668.1400000001</v>
      </c>
      <c r="BJ71" s="57">
        <f t="shared" si="182"/>
        <v>0</v>
      </c>
      <c r="BK71" s="157">
        <f t="shared" si="183"/>
        <v>3243676.9600000004</v>
      </c>
      <c r="BL71" s="57">
        <f t="shared" si="111"/>
        <v>548758.71999999986</v>
      </c>
      <c r="BM71" s="57">
        <f t="shared" si="112"/>
        <v>729646.33000000007</v>
      </c>
      <c r="BN71" s="57">
        <f t="shared" si="113"/>
        <v>23311.730000000003</v>
      </c>
      <c r="BO71" s="57">
        <f t="shared" si="114"/>
        <v>363177.12999999983</v>
      </c>
      <c r="BP71" s="57">
        <f t="shared" si="115"/>
        <v>139472.98000000001</v>
      </c>
      <c r="BQ71" s="57">
        <f t="shared" si="116"/>
        <v>2277844.9899999998</v>
      </c>
      <c r="BR71" s="57">
        <f t="shared" si="117"/>
        <v>0</v>
      </c>
      <c r="BS71" s="157">
        <f t="shared" si="184"/>
        <v>4082211.8799999994</v>
      </c>
      <c r="BT71" s="157">
        <f t="shared" si="73"/>
        <v>3662003.3824999998</v>
      </c>
      <c r="BU71" s="157">
        <f t="shared" si="74"/>
        <v>3662944.42</v>
      </c>
      <c r="BV71" s="144"/>
      <c r="BW71" s="158">
        <f t="shared" si="185"/>
        <v>3292148.6799999997</v>
      </c>
      <c r="BX71" s="159">
        <f t="shared" si="186"/>
        <v>4029976.01</v>
      </c>
      <c r="BY71" s="159">
        <f t="shared" si="187"/>
        <v>3243676.9600000004</v>
      </c>
      <c r="BZ71" s="159">
        <f t="shared" si="188"/>
        <v>4082211.8799999994</v>
      </c>
      <c r="CA71" s="158">
        <f t="shared" si="189"/>
        <v>3662003.3824999998</v>
      </c>
      <c r="CB71" s="157">
        <f t="shared" si="190"/>
        <v>3661062.3449999997</v>
      </c>
      <c r="CC71" s="144"/>
      <c r="CD71" s="158">
        <f t="shared" si="191"/>
        <v>3739841.0654809712</v>
      </c>
      <c r="CE71" s="159">
        <f t="shared" si="192"/>
        <v>4399985.4363749428</v>
      </c>
      <c r="CF71" s="159">
        <f t="shared" si="193"/>
        <v>3429192.2520055845</v>
      </c>
      <c r="CG71" s="159">
        <f t="shared" si="194"/>
        <v>4082211.8799999994</v>
      </c>
      <c r="CH71" s="158">
        <f t="shared" si="195"/>
        <v>3912807.6584653743</v>
      </c>
      <c r="CI71" s="157">
        <f t="shared" si="196"/>
        <v>3911026.4727404853</v>
      </c>
      <c r="CK71" s="61">
        <f t="shared" si="197"/>
        <v>0.1765166913073275</v>
      </c>
      <c r="CL71" s="62">
        <f t="shared" si="198"/>
        <v>-0.22063554491425197</v>
      </c>
      <c r="CM71" s="63">
        <f t="shared" si="199"/>
        <v>0.1904295764148225</v>
      </c>
      <c r="CN71" s="61">
        <f t="shared" si="200"/>
        <v>9.1546888898337953E-2</v>
      </c>
      <c r="CO71" s="29"/>
      <c r="CP71" s="61">
        <f t="shared" si="201"/>
        <v>1.5754634410602862E-3</v>
      </c>
      <c r="CQ71" s="62">
        <f t="shared" si="202"/>
        <v>1.8945687412364849E-3</v>
      </c>
      <c r="CR71" s="63">
        <f t="shared" si="203"/>
        <v>1.4240518390463094E-3</v>
      </c>
      <c r="CS71" s="61">
        <f t="shared" si="204"/>
        <v>1.6867017137667344E-3</v>
      </c>
      <c r="CU71" s="60">
        <f t="shared" si="207"/>
        <v>100</v>
      </c>
      <c r="CV71" s="132">
        <f t="shared" si="208"/>
        <v>117.65166913073276</v>
      </c>
      <c r="CW71" s="132">
        <f t="shared" si="209"/>
        <v>91.693529002002265</v>
      </c>
      <c r="CX71" s="131">
        <f t="shared" si="210"/>
        <v>109.15468888983379</v>
      </c>
    </row>
    <row r="72" spans="1:102">
      <c r="A72" s="29">
        <v>216</v>
      </c>
      <c r="B72" s="29" t="s">
        <v>3</v>
      </c>
      <c r="C72" s="55" t="s">
        <v>102</v>
      </c>
      <c r="D72" s="56">
        <v>0</v>
      </c>
      <c r="E72" s="57">
        <f>VLOOKUP(A72,AuxOPEXSaneparOriginal!$B$4:$F$177,3,0)</f>
        <v>0</v>
      </c>
      <c r="F72" s="156">
        <f>VLOOKUP(A72,AuxOPEXSaneparOriginal!$B$4:$F$177,4,0)</f>
        <v>10014447.479999995</v>
      </c>
      <c r="G72" s="57">
        <f>VLOOKUP(A72,AuxOPEXSaneparOriginal!$B$4:$K$177,8,0)</f>
        <v>3187559.3899999973</v>
      </c>
      <c r="H72" s="156">
        <f>VLOOKUP(A72,AuxOPEXSaneparOriginal!$B$4:$K$177,9,0)</f>
        <v>0</v>
      </c>
      <c r="I72" s="57">
        <f>VLOOKUP(A72,AuxOPEXSaneparOriginal!$B$4:$N$177,13,0)</f>
        <v>0</v>
      </c>
      <c r="J72" s="57">
        <f>VLOOKUP(A72,AuxOPEXSaneparOriginal!$B$4:$Q$177,16,0)</f>
        <v>0</v>
      </c>
      <c r="K72" s="57">
        <f>VLOOKUP(A72,AuxOPEXSaneparOriginal!$B$4:$V$177,21,0)</f>
        <v>0</v>
      </c>
      <c r="L72" s="157">
        <f t="shared" si="156"/>
        <v>13202006.869999992</v>
      </c>
      <c r="M72" s="19">
        <f>VLOOKUP(A72,AuxOPEXSaneparOriginal!$B$4:$AB$177,27,0)</f>
        <v>0</v>
      </c>
      <c r="N72" s="156">
        <f>VLOOKUP(A72,AuxOPEXSaneparOriginal!$B$4:$AC$177,28,0)</f>
        <v>8018434.1000000061</v>
      </c>
      <c r="O72" s="156">
        <f>VLOOKUP(A72,AuxOPEXSaneparOriginal!$B$4:$AD$177,29,0)</f>
        <v>3044242.4999999972</v>
      </c>
      <c r="P72" s="156">
        <f>VLOOKUP(A72,AuxOPEXSaneparOriginal!$B$4:$AE$177,30,0)</f>
        <v>0</v>
      </c>
      <c r="Q72" s="146">
        <f>VLOOKUP(A72,AuxOPEXSaneparOriginal!$B$4:$AF$177,31,0)</f>
        <v>0</v>
      </c>
      <c r="R72" s="146">
        <f>VLOOKUP(A72,AuxOPEXSaneparOriginal!$B$4:$AG$177,32,0)</f>
        <v>0</v>
      </c>
      <c r="S72" s="146">
        <f>VLOOKUP(A72,AuxOPEXSaneparOriginal!$B$4:$AH$177,33,0)</f>
        <v>0</v>
      </c>
      <c r="T72" s="157">
        <f t="shared" si="157"/>
        <v>11062676.600000003</v>
      </c>
      <c r="U72" s="156">
        <f>VLOOKUP(A72,AuxOPEXSaneparOriginal!$B$4:$AI$177,34,0)</f>
        <v>0</v>
      </c>
      <c r="V72" s="156">
        <f>VLOOKUP(A72,AuxOPEXSaneparOriginal!$B$4:$AJ$177,35,0)</f>
        <v>7579161.169999999</v>
      </c>
      <c r="W72" s="156">
        <f>VLOOKUP(A72,AuxOPEXSaneparOriginal!$B$4:$AK$177,36,0)</f>
        <v>3758121.2099999986</v>
      </c>
      <c r="X72" s="19">
        <f>+VLOOKUP(A72,AuxOPEXSaneparOriginal!$B$4:$AL$177,37,0)</f>
        <v>0</v>
      </c>
      <c r="Y72" s="146">
        <f>VLOOKUP(A72,AuxOPEXSaneparOriginal!$B$4:$AM$177,38,0)</f>
        <v>0</v>
      </c>
      <c r="Z72" s="146">
        <f>VLOOKUP(A72,AuxOPEXSaneparOriginal!$B$4:$AN$177,39,0)</f>
        <v>0</v>
      </c>
      <c r="AA72" s="146">
        <f>VLOOKUP(A72,AuxOPEXSaneparOriginal!$B$4:$AO$177,40,0)</f>
        <v>0</v>
      </c>
      <c r="AB72" s="157">
        <f t="shared" si="158"/>
        <v>11337282.379999997</v>
      </c>
      <c r="AC72" s="156">
        <f>VLOOKUP(A72,AuxOPEXSaneparOriginal!$B$4:$AP$177,41,0)</f>
        <v>0</v>
      </c>
      <c r="AD72" s="156">
        <f>+VLOOKUP(A72,AuxOPEXSaneparOriginal!$B$4:$AQ$177,42,0)</f>
        <v>5497037.8900000043</v>
      </c>
      <c r="AE72" s="156">
        <f>VLOOKUP(A72,AuxOPEXSaneparOriginal!$B$4:$AR$177,43,0)</f>
        <v>2718221.2000000016</v>
      </c>
      <c r="AF72" s="156">
        <f>+VLOOKUP(A72,AuxOPEXSaneparOriginal!$B$4:$AS$177,44,0)</f>
        <v>0</v>
      </c>
      <c r="AG72" s="146">
        <f>VLOOKUP(A72,AuxOPEXSaneparOriginal!$B$4:$AT$177,45,0)</f>
        <v>0</v>
      </c>
      <c r="AH72" s="146">
        <f>VLOOKUP(A72,AuxOPEXSaneparOriginal!$B$4:$AU$177,46,0)</f>
        <v>0</v>
      </c>
      <c r="AI72" s="146">
        <f>VLOOKUP(A72,AuxOPEXSaneparOriginal!$B$4:$AV$177,47,0)</f>
        <v>0</v>
      </c>
      <c r="AJ72" s="157">
        <f t="shared" si="159"/>
        <v>8215259.0900000054</v>
      </c>
      <c r="AK72" s="157">
        <f t="shared" si="205"/>
        <v>10954306.234999999</v>
      </c>
      <c r="AL72" s="157">
        <f t="shared" si="206"/>
        <v>9776270.7350000013</v>
      </c>
      <c r="AM72" s="144"/>
      <c r="AN72" s="167">
        <f t="shared" si="160"/>
        <v>0</v>
      </c>
      <c r="AO72" s="168">
        <f t="shared" si="161"/>
        <v>10014447.479999995</v>
      </c>
      <c r="AP72" s="57">
        <f t="shared" si="162"/>
        <v>3187559.3899999973</v>
      </c>
      <c r="AQ72" s="57">
        <f t="shared" si="163"/>
        <v>0</v>
      </c>
      <c r="AR72" s="57">
        <f t="shared" si="164"/>
        <v>0</v>
      </c>
      <c r="AS72" s="57">
        <f t="shared" si="165"/>
        <v>0</v>
      </c>
      <c r="AT72" s="57">
        <f t="shared" si="166"/>
        <v>0</v>
      </c>
      <c r="AU72" s="157">
        <f t="shared" si="167"/>
        <v>13202006.869999992</v>
      </c>
      <c r="AV72" s="57">
        <f t="shared" si="168"/>
        <v>0</v>
      </c>
      <c r="AW72" s="57">
        <f t="shared" si="169"/>
        <v>8018434.1000000061</v>
      </c>
      <c r="AX72" s="57">
        <f t="shared" si="170"/>
        <v>3044242.4999999972</v>
      </c>
      <c r="AY72" s="57">
        <f t="shared" si="171"/>
        <v>0</v>
      </c>
      <c r="AZ72" s="57">
        <f t="shared" si="172"/>
        <v>0</v>
      </c>
      <c r="BA72" s="57">
        <f t="shared" si="173"/>
        <v>0</v>
      </c>
      <c r="BB72" s="57">
        <f t="shared" si="174"/>
        <v>0</v>
      </c>
      <c r="BC72" s="157">
        <f t="shared" si="175"/>
        <v>11062676.600000003</v>
      </c>
      <c r="BD72" s="57">
        <f t="shared" si="176"/>
        <v>0</v>
      </c>
      <c r="BE72" s="57">
        <f t="shared" si="177"/>
        <v>7579161.169999999</v>
      </c>
      <c r="BF72" s="57">
        <f t="shared" si="178"/>
        <v>3758121.2099999986</v>
      </c>
      <c r="BG72" s="57">
        <f t="shared" si="179"/>
        <v>0</v>
      </c>
      <c r="BH72" s="57">
        <f t="shared" si="180"/>
        <v>0</v>
      </c>
      <c r="BI72" s="57">
        <f t="shared" si="181"/>
        <v>0</v>
      </c>
      <c r="BJ72" s="57">
        <f t="shared" si="182"/>
        <v>0</v>
      </c>
      <c r="BK72" s="157">
        <f t="shared" si="183"/>
        <v>11337282.379999997</v>
      </c>
      <c r="BL72" s="57">
        <f t="shared" si="111"/>
        <v>0</v>
      </c>
      <c r="BM72" s="57">
        <f t="shared" si="112"/>
        <v>5497037.8900000043</v>
      </c>
      <c r="BN72" s="57">
        <f t="shared" si="113"/>
        <v>2718221.2000000016</v>
      </c>
      <c r="BO72" s="57">
        <f t="shared" si="114"/>
        <v>0</v>
      </c>
      <c r="BP72" s="57">
        <f t="shared" si="115"/>
        <v>0</v>
      </c>
      <c r="BQ72" s="57">
        <f t="shared" si="116"/>
        <v>0</v>
      </c>
      <c r="BR72" s="57">
        <f t="shared" si="117"/>
        <v>0</v>
      </c>
      <c r="BS72" s="157">
        <f t="shared" si="184"/>
        <v>8215259.0900000054</v>
      </c>
      <c r="BT72" s="157">
        <f t="shared" si="73"/>
        <v>10954306.234999999</v>
      </c>
      <c r="BU72" s="157">
        <f t="shared" si="74"/>
        <v>9776270.7350000013</v>
      </c>
      <c r="BV72" s="144"/>
      <c r="BW72" s="158">
        <f t="shared" si="185"/>
        <v>13202006.869999992</v>
      </c>
      <c r="BX72" s="159">
        <f t="shared" si="186"/>
        <v>11062676.600000003</v>
      </c>
      <c r="BY72" s="159">
        <f t="shared" si="187"/>
        <v>11337282.379999997</v>
      </c>
      <c r="BZ72" s="159">
        <f t="shared" si="188"/>
        <v>8215259.0900000054</v>
      </c>
      <c r="CA72" s="158">
        <f t="shared" si="189"/>
        <v>10954306.234999999</v>
      </c>
      <c r="CB72" s="157">
        <f t="shared" si="190"/>
        <v>11199979.49</v>
      </c>
      <c r="CC72" s="144"/>
      <c r="CD72" s="158">
        <f t="shared" si="191"/>
        <v>14997320.060036862</v>
      </c>
      <c r="CE72" s="159">
        <f t="shared" si="192"/>
        <v>12078388.508155383</v>
      </c>
      <c r="CF72" s="159">
        <f t="shared" si="193"/>
        <v>11985694.437431099</v>
      </c>
      <c r="CG72" s="159">
        <f t="shared" si="194"/>
        <v>8215259.0900000054</v>
      </c>
      <c r="CH72" s="158">
        <f t="shared" si="195"/>
        <v>11819165.523905836</v>
      </c>
      <c r="CI72" s="157">
        <f t="shared" si="196"/>
        <v>12032041.47279324</v>
      </c>
      <c r="CK72" s="61">
        <f t="shared" si="197"/>
        <v>-0.19463020994394276</v>
      </c>
      <c r="CL72" s="62">
        <f t="shared" si="198"/>
        <v>-7.6743739996190108E-3</v>
      </c>
      <c r="CM72" s="63">
        <f t="shared" si="199"/>
        <v>-0.31457796351424538</v>
      </c>
      <c r="CN72" s="61">
        <f t="shared" si="200"/>
        <v>-0.45221819250953477</v>
      </c>
      <c r="CO72" s="29"/>
      <c r="CP72" s="61">
        <f t="shared" si="201"/>
        <v>6.3178432063741808E-3</v>
      </c>
      <c r="CQ72" s="62">
        <f t="shared" si="202"/>
        <v>5.2007756941382698E-3</v>
      </c>
      <c r="CR72" s="63">
        <f t="shared" si="203"/>
        <v>4.9773383792898768E-3</v>
      </c>
      <c r="CS72" s="61">
        <f t="shared" si="204"/>
        <v>3.3944077361660009E-3</v>
      </c>
      <c r="CU72" s="60">
        <f t="shared" si="207"/>
        <v>100</v>
      </c>
      <c r="CV72" s="132">
        <f t="shared" si="208"/>
        <v>80.53697900560573</v>
      </c>
      <c r="CW72" s="132">
        <f t="shared" si="209"/>
        <v>79.918908107917247</v>
      </c>
      <c r="CX72" s="131">
        <f t="shared" si="210"/>
        <v>54.778180749046527</v>
      </c>
    </row>
    <row r="73" spans="1:102">
      <c r="B73" s="67" t="s">
        <v>103</v>
      </c>
      <c r="C73" s="68"/>
      <c r="D73" s="69"/>
      <c r="E73" s="70">
        <f t="shared" ref="E73:H73" si="211">SUM(E59:E72)</f>
        <v>7525558.8599999938</v>
      </c>
      <c r="F73" s="70">
        <f t="shared" si="211"/>
        <v>13840846.899999997</v>
      </c>
      <c r="G73" s="70">
        <f>SUM(G59:G72)</f>
        <v>5454387.4099999964</v>
      </c>
      <c r="H73" s="70">
        <f t="shared" si="211"/>
        <v>4404683.8500000015</v>
      </c>
      <c r="I73" s="160">
        <f>SUM(I59:I72)</f>
        <v>3932175.75</v>
      </c>
      <c r="J73" s="160">
        <f>SUM(J59:J72)</f>
        <v>39242782.640000008</v>
      </c>
      <c r="K73" s="160">
        <f>SUM(K59:K72)</f>
        <v>0</v>
      </c>
      <c r="L73" s="160">
        <f>SUM(L59:L72)</f>
        <v>74400435.409999996</v>
      </c>
      <c r="M73" s="160">
        <f t="shared" ref="M73:O73" si="212">SUM(M59:M72)</f>
        <v>6709552.6800000006</v>
      </c>
      <c r="N73" s="160">
        <f t="shared" si="212"/>
        <v>12317882.370000005</v>
      </c>
      <c r="O73" s="160">
        <f t="shared" si="212"/>
        <v>5679968.8699999973</v>
      </c>
      <c r="P73" s="160">
        <f t="shared" ref="P73:U73" si="213">SUM(P59:P72)</f>
        <v>3573793.2600000012</v>
      </c>
      <c r="Q73" s="160">
        <f t="shared" si="213"/>
        <v>3615439.1399999992</v>
      </c>
      <c r="R73" s="160">
        <f t="shared" si="213"/>
        <v>40014009.179999992</v>
      </c>
      <c r="S73" s="160">
        <f t="shared" si="213"/>
        <v>0</v>
      </c>
      <c r="T73" s="160">
        <f t="shared" si="213"/>
        <v>71910645.500000015</v>
      </c>
      <c r="U73" s="160">
        <f t="shared" si="213"/>
        <v>7107081.1599999964</v>
      </c>
      <c r="V73" s="160">
        <f t="shared" ref="V73:W73" si="214">SUM(V59:V72)</f>
        <v>12044579.149999999</v>
      </c>
      <c r="W73" s="160">
        <f t="shared" si="214"/>
        <v>5733438.3899999987</v>
      </c>
      <c r="X73" s="160">
        <f t="shared" ref="X73:AC73" si="215">SUM(X59:X72)</f>
        <v>4672289.1999999983</v>
      </c>
      <c r="Y73" s="160">
        <f t="shared" si="215"/>
        <v>4178852.4800000004</v>
      </c>
      <c r="Z73" s="160">
        <f t="shared" si="215"/>
        <v>48977500.939999998</v>
      </c>
      <c r="AA73" s="160">
        <f t="shared" si="215"/>
        <v>0</v>
      </c>
      <c r="AB73" s="160">
        <f t="shared" si="215"/>
        <v>82713741.319999978</v>
      </c>
      <c r="AC73" s="160">
        <f t="shared" si="215"/>
        <v>7467431.259999997</v>
      </c>
      <c r="AD73" s="160">
        <f t="shared" ref="AD73:AE73" si="216">SUM(AD59:AD72)</f>
        <v>9505461.8100000042</v>
      </c>
      <c r="AE73" s="160">
        <f t="shared" si="216"/>
        <v>5354005.6300000008</v>
      </c>
      <c r="AF73" s="160">
        <f>SUM(AF59:AF72)</f>
        <v>6013064.9100000011</v>
      </c>
      <c r="AG73" s="160">
        <f>SUM(AG59:AG72)</f>
        <v>3167068.2999999993</v>
      </c>
      <c r="AH73" s="160">
        <f>SUM(AH59:AH72)</f>
        <v>39893101.289999999</v>
      </c>
      <c r="AI73" s="160">
        <f>SUM(AI59:AI72)</f>
        <v>0</v>
      </c>
      <c r="AJ73" s="160">
        <f>SUM(AJ59:AJ72)</f>
        <v>71400133.199999988</v>
      </c>
      <c r="AK73" s="161">
        <f t="shared" si="205"/>
        <v>75106238.857499987</v>
      </c>
      <c r="AL73" s="161">
        <f t="shared" si="206"/>
        <v>77056937.25999999</v>
      </c>
      <c r="AM73" s="144"/>
      <c r="AN73" s="133">
        <f t="shared" ref="AN73:AO73" si="217">SUM(AN59:AN72)</f>
        <v>7525558.8599999938</v>
      </c>
      <c r="AO73" s="134">
        <f t="shared" si="217"/>
        <v>13840846.899999997</v>
      </c>
      <c r="AP73" s="70">
        <f>SUM(AP59:AP72)</f>
        <v>5454387.4099999964</v>
      </c>
      <c r="AQ73" s="70">
        <f t="shared" ref="AQ73" si="218">SUM(AQ59:AQ72)</f>
        <v>4404683.8500000015</v>
      </c>
      <c r="AR73" s="160">
        <f>SUM(AR59:AR72)</f>
        <v>3932175.75</v>
      </c>
      <c r="AS73" s="160">
        <f>SUM(AS59:AS72)</f>
        <v>39242782.640000008</v>
      </c>
      <c r="AT73" s="160">
        <f>SUM(AT59:AT72)</f>
        <v>0</v>
      </c>
      <c r="AU73" s="160">
        <f>SUM(AU59:AU72)</f>
        <v>74400435.409999996</v>
      </c>
      <c r="AV73" s="160">
        <f t="shared" ref="AV73:AX73" si="219">SUM(AV59:AV72)</f>
        <v>6709552.6800000006</v>
      </c>
      <c r="AW73" s="160">
        <f t="shared" si="219"/>
        <v>12317882.370000005</v>
      </c>
      <c r="AX73" s="160">
        <f t="shared" si="219"/>
        <v>5679968.8699999973</v>
      </c>
      <c r="AY73" s="160">
        <f t="shared" ref="AY73" si="220">SUM(AY59:AY72)</f>
        <v>3573793.2600000012</v>
      </c>
      <c r="AZ73" s="160">
        <f t="shared" ref="AZ73" si="221">SUM(AZ59:AZ72)</f>
        <v>3615439.1399999992</v>
      </c>
      <c r="BA73" s="160">
        <f t="shared" ref="BA73" si="222">SUM(BA59:BA72)</f>
        <v>40014009.179999992</v>
      </c>
      <c r="BB73" s="160">
        <f t="shared" ref="BB73" si="223">SUM(BB59:BB72)</f>
        <v>0</v>
      </c>
      <c r="BC73" s="160">
        <f t="shared" ref="BC73" si="224">SUM(BC59:BC72)</f>
        <v>71910645.500000015</v>
      </c>
      <c r="BD73" s="160">
        <f t="shared" ref="BD73:BF73" si="225">SUM(BD59:BD72)</f>
        <v>7107081.1599999964</v>
      </c>
      <c r="BE73" s="160">
        <f t="shared" si="225"/>
        <v>12044579.149999999</v>
      </c>
      <c r="BF73" s="160">
        <f t="shared" si="225"/>
        <v>5733438.3899999987</v>
      </c>
      <c r="BG73" s="160">
        <f t="shared" ref="BG73" si="226">SUM(BG59:BG72)</f>
        <v>4672289.1999999983</v>
      </c>
      <c r="BH73" s="160">
        <f t="shared" ref="BH73" si="227">SUM(BH59:BH72)</f>
        <v>4178852.4800000004</v>
      </c>
      <c r="BI73" s="160">
        <f t="shared" ref="BI73" si="228">SUM(BI59:BI72)</f>
        <v>48977500.939999998</v>
      </c>
      <c r="BJ73" s="160">
        <f t="shared" ref="BJ73" si="229">SUM(BJ59:BJ72)</f>
        <v>0</v>
      </c>
      <c r="BK73" s="160">
        <f t="shared" ref="BK73" si="230">SUM(BK59:BK72)</f>
        <v>82713741.319999978</v>
      </c>
      <c r="BL73" s="160">
        <f t="shared" ref="BL73:BN73" si="231">SUM(BL59:BL72)</f>
        <v>7467431.259999997</v>
      </c>
      <c r="BM73" s="160">
        <f t="shared" si="231"/>
        <v>9505461.8100000042</v>
      </c>
      <c r="BN73" s="160">
        <f t="shared" si="231"/>
        <v>5354005.6300000008</v>
      </c>
      <c r="BO73" s="160">
        <f>SUM(BO59:BO72)</f>
        <v>6013064.9100000011</v>
      </c>
      <c r="BP73" s="160">
        <f>SUM(BP59:BP72)</f>
        <v>3167068.2999999993</v>
      </c>
      <c r="BQ73" s="160">
        <f>SUM(BQ59:BQ72)</f>
        <v>39893101.289999999</v>
      </c>
      <c r="BR73" s="160">
        <f>SUM(BR59:BR72)</f>
        <v>0</v>
      </c>
      <c r="BS73" s="160">
        <f>SUM(BS59:BS72)</f>
        <v>71400133.199999988</v>
      </c>
      <c r="BT73" s="161">
        <f t="shared" si="73"/>
        <v>75106238.857499987</v>
      </c>
      <c r="BU73" s="161">
        <f t="shared" si="74"/>
        <v>77056937.25999999</v>
      </c>
      <c r="BV73" s="144"/>
      <c r="BW73" s="162">
        <f t="shared" ref="BW73:CB73" si="232">SUM(BW59:BW72)</f>
        <v>74400435.409999996</v>
      </c>
      <c r="BX73" s="163">
        <f t="shared" si="232"/>
        <v>71910645.500000015</v>
      </c>
      <c r="BY73" s="163">
        <f t="shared" si="232"/>
        <v>82713741.319999978</v>
      </c>
      <c r="BZ73" s="163">
        <f t="shared" si="232"/>
        <v>71400133.199999988</v>
      </c>
      <c r="CA73" s="162">
        <f t="shared" si="232"/>
        <v>75106238.857499987</v>
      </c>
      <c r="CB73" s="164">
        <f t="shared" si="232"/>
        <v>74309984.674999997</v>
      </c>
      <c r="CC73" s="144"/>
      <c r="CD73" s="162">
        <f>SUM(CD59:CD72)</f>
        <v>84517994.380491525</v>
      </c>
      <c r="CE73" s="163">
        <f t="shared" ref="CE73:CI73" si="233">SUM(CE59:CE72)</f>
        <v>78513071.07913065</v>
      </c>
      <c r="CF73" s="163">
        <f t="shared" si="233"/>
        <v>87444380.055940628</v>
      </c>
      <c r="CG73" s="163">
        <f t="shared" si="233"/>
        <v>71400133.199999988</v>
      </c>
      <c r="CH73" s="162">
        <f t="shared" si="233"/>
        <v>80468894.678890705</v>
      </c>
      <c r="CI73" s="164">
        <f t="shared" si="233"/>
        <v>79497599.243237972</v>
      </c>
      <c r="CK73" s="73">
        <f t="shared" ref="CK73:CM75" si="234">IFERROR(+CE73/CD73-1,0)</f>
        <v>-7.1049051097063609E-2</v>
      </c>
      <c r="CL73" s="74">
        <f t="shared" si="234"/>
        <v>0.1137556951225156</v>
      </c>
      <c r="CM73" s="74">
        <f t="shared" si="234"/>
        <v>-0.18347945111711794</v>
      </c>
      <c r="CN73" s="74">
        <f>IFERROR(+CG73/CD73-1,0)</f>
        <v>-0.15520790899789039</v>
      </c>
      <c r="CO73" s="29"/>
      <c r="CP73" s="73">
        <f>SUM(CP59:CP72)</f>
        <v>3.5604456961349076E-2</v>
      </c>
      <c r="CQ73" s="74">
        <f t="shared" ref="CQ73:CS73" si="235">SUM(CQ59:CQ72)</f>
        <v>3.3806568770725291E-2</v>
      </c>
      <c r="CR73" s="74">
        <f t="shared" si="235"/>
        <v>3.6313312605934317E-2</v>
      </c>
      <c r="CS73" s="74">
        <f t="shared" si="235"/>
        <v>2.9501341569662262E-2</v>
      </c>
      <c r="CU73" s="133">
        <f t="shared" si="207"/>
        <v>100</v>
      </c>
      <c r="CV73" s="134">
        <f t="shared" si="208"/>
        <v>92.895094890293635</v>
      </c>
      <c r="CW73" s="134">
        <f t="shared" si="209"/>
        <v>103.46244098301102</v>
      </c>
      <c r="CX73" s="136">
        <f t="shared" si="210"/>
        <v>84.479209100210966</v>
      </c>
    </row>
    <row r="74" spans="1:102">
      <c r="A74" s="29">
        <v>207</v>
      </c>
      <c r="B74" s="29" t="s">
        <v>4</v>
      </c>
      <c r="C74" s="55" t="s">
        <v>104</v>
      </c>
      <c r="D74" s="56">
        <v>0</v>
      </c>
      <c r="E74" s="57">
        <f>VLOOKUP(A74,AuxOPEXSaneparOriginal!$B$4:$F$177,3,0)</f>
        <v>57622392.389999948</v>
      </c>
      <c r="F74" s="156">
        <f>VLOOKUP(A74,AuxOPEXSaneparOriginal!$B$4:$F$177,4,0)</f>
        <v>36086.320000000007</v>
      </c>
      <c r="G74" s="57">
        <f>VLOOKUP(A74,AuxOPEXSaneparOriginal!$B$4:$K$177,8,0)</f>
        <v>107582.53000000001</v>
      </c>
      <c r="H74" s="156">
        <f>VLOOKUP(A74,AuxOPEXSaneparOriginal!$B$4:$K$177,9,0)</f>
        <v>24525635.530000009</v>
      </c>
      <c r="I74" s="57">
        <f>VLOOKUP(A74,AuxOPEXSaneparOriginal!$B$4:$N$177,13,0)</f>
        <v>0</v>
      </c>
      <c r="J74" s="57">
        <f>VLOOKUP(A74,AuxOPEXSaneparOriginal!$B$4:$Q$177,16,0)</f>
        <v>0</v>
      </c>
      <c r="K74" s="57">
        <f>VLOOKUP(A74,AuxOPEXSaneparOriginal!$B$4:$V$177,21,0)</f>
        <v>0</v>
      </c>
      <c r="L74" s="157">
        <f>SUM(E74:K74)</f>
        <v>82291696.769999951</v>
      </c>
      <c r="M74" s="19">
        <f>VLOOKUP(A74,AuxOPEXSaneparOriginal!$B$4:$AB$177,27,0)</f>
        <v>50760938.779999979</v>
      </c>
      <c r="N74" s="156">
        <f>VLOOKUP(A74,AuxOPEXSaneparOriginal!$B$4:$AC$177,28,0)</f>
        <v>8337.02</v>
      </c>
      <c r="O74" s="156">
        <f>VLOOKUP(A74,AuxOPEXSaneparOriginal!$B$4:$AD$177,29,0)</f>
        <v>157582.54</v>
      </c>
      <c r="P74" s="156">
        <f>VLOOKUP(A74,AuxOPEXSaneparOriginal!$B$4:$AE$177,30,0)</f>
        <v>28300224.319999997</v>
      </c>
      <c r="Q74" s="146">
        <f>VLOOKUP(A74,AuxOPEXSaneparOriginal!$B$4:$AF$177,31,0)</f>
        <v>0</v>
      </c>
      <c r="R74" s="146">
        <f>VLOOKUP(A74,AuxOPEXSaneparOriginal!$B$4:$AG$177,32,0)</f>
        <v>0</v>
      </c>
      <c r="S74" s="146">
        <f>VLOOKUP(A74,AuxOPEXSaneparOriginal!$B$4:$AH$177,33,0)</f>
        <v>0</v>
      </c>
      <c r="T74" s="157">
        <f>SUM(M74:S74)</f>
        <v>79227082.659999982</v>
      </c>
      <c r="U74" s="156">
        <f>VLOOKUP(A74,AuxOPEXSaneparOriginal!$B$4:$AI$177,34,0)</f>
        <v>66964635.619999915</v>
      </c>
      <c r="V74" s="156">
        <f>VLOOKUP(A74,AuxOPEXSaneparOriginal!$B$4:$AJ$177,35,0)</f>
        <v>80237.88</v>
      </c>
      <c r="W74" s="156">
        <f>VLOOKUP(A74,AuxOPEXSaneparOriginal!$B$4:$AK$177,36,0)</f>
        <v>236482.94999999998</v>
      </c>
      <c r="X74" s="19">
        <f>+VLOOKUP(A74,AuxOPEXSaneparOriginal!$B$4:$AL$177,37,0)</f>
        <v>52614586.809999995</v>
      </c>
      <c r="Y74" s="146">
        <f>VLOOKUP(A74,AuxOPEXSaneparOriginal!$B$4:$AM$177,38,0)</f>
        <v>0</v>
      </c>
      <c r="Z74" s="146">
        <f>VLOOKUP(A74,AuxOPEXSaneparOriginal!$B$4:$AN$177,39,0)</f>
        <v>0</v>
      </c>
      <c r="AA74" s="146">
        <f>VLOOKUP(A74,AuxOPEXSaneparOriginal!$B$4:$AO$177,40,0)</f>
        <v>0</v>
      </c>
      <c r="AB74" s="157">
        <f>SUM(U74:AA74)</f>
        <v>119895943.2599999</v>
      </c>
      <c r="AC74" s="156">
        <f>VLOOKUP(A74,AuxOPEXSaneparOriginal!$B$4:$AP$177,41,0)</f>
        <v>78418793.839999929</v>
      </c>
      <c r="AD74" s="156">
        <f>+VLOOKUP(A74,AuxOPEXSaneparOriginal!$B$4:$AQ$177,42,0)</f>
        <v>41751.919999999998</v>
      </c>
      <c r="AE74" s="156">
        <f>VLOOKUP(A74,AuxOPEXSaneparOriginal!$B$4:$AR$177,43,0)</f>
        <v>180432.59000000003</v>
      </c>
      <c r="AF74" s="156">
        <f>+VLOOKUP(A74,AuxOPEXSaneparOriginal!$B$4:$AS$177,44,0)</f>
        <v>65328429.479999989</v>
      </c>
      <c r="AG74" s="146">
        <f>VLOOKUP(A74,AuxOPEXSaneparOriginal!$B$4:$AT$177,45,0)</f>
        <v>0</v>
      </c>
      <c r="AH74" s="146">
        <f>VLOOKUP(A74,AuxOPEXSaneparOriginal!$B$4:$AU$177,46,0)</f>
        <v>0</v>
      </c>
      <c r="AI74" s="146">
        <f>VLOOKUP(A74,AuxOPEXSaneparOriginal!$B$4:$AV$177,47,0)</f>
        <v>0</v>
      </c>
      <c r="AJ74" s="157">
        <f>SUM(AC74:AI74)</f>
        <v>143969407.82999992</v>
      </c>
      <c r="AK74" s="157">
        <f t="shared" si="205"/>
        <v>106346032.62999994</v>
      </c>
      <c r="AL74" s="157">
        <f t="shared" si="206"/>
        <v>131932675.54499991</v>
      </c>
      <c r="AM74" s="144"/>
      <c r="AN74" s="167">
        <f>E74*(1-$D74)</f>
        <v>57622392.389999948</v>
      </c>
      <c r="AO74" s="168">
        <f>F74*(1-$D74)</f>
        <v>36086.320000000007</v>
      </c>
      <c r="AP74" s="57">
        <f t="shared" ref="AP74" si="236">G74*(1-$D74)</f>
        <v>107582.53000000001</v>
      </c>
      <c r="AQ74" s="57">
        <f t="shared" ref="AQ74" si="237">H74*(1-$D74)</f>
        <v>24525635.530000009</v>
      </c>
      <c r="AR74" s="57">
        <f t="shared" ref="AR74" si="238">I74*(1-$D74)</f>
        <v>0</v>
      </c>
      <c r="AS74" s="57">
        <f t="shared" ref="AS74" si="239">J74*(1-$D74)</f>
        <v>0</v>
      </c>
      <c r="AT74" s="57">
        <f t="shared" ref="AT74" si="240">K74*(1-$D74)</f>
        <v>0</v>
      </c>
      <c r="AU74" s="157">
        <f>SUM(AN74:AT74)</f>
        <v>82291696.769999951</v>
      </c>
      <c r="AV74" s="57">
        <f t="shared" ref="AV74" si="241">M74*(1-$D74)</f>
        <v>50760938.779999979</v>
      </c>
      <c r="AW74" s="57">
        <f t="shared" ref="AW74" si="242">N74*(1-$D74)</f>
        <v>8337.02</v>
      </c>
      <c r="AX74" s="57">
        <f t="shared" ref="AX74" si="243">O74*(1-$D74)</f>
        <v>157582.54</v>
      </c>
      <c r="AY74" s="57">
        <f t="shared" ref="AY74" si="244">P74*(1-$D74)</f>
        <v>28300224.319999997</v>
      </c>
      <c r="AZ74" s="57">
        <f t="shared" ref="AZ74" si="245">Q74*(1-$D74)</f>
        <v>0</v>
      </c>
      <c r="BA74" s="57">
        <f t="shared" ref="BA74" si="246">R74*(1-$D74)</f>
        <v>0</v>
      </c>
      <c r="BB74" s="57">
        <f t="shared" ref="BB74" si="247">S74*(1-$D74)</f>
        <v>0</v>
      </c>
      <c r="BC74" s="157">
        <f>SUM(AV74:BB74)</f>
        <v>79227082.659999982</v>
      </c>
      <c r="BD74" s="57">
        <f t="shared" ref="BD74" si="248">U74*(1-$D74)</f>
        <v>66964635.619999915</v>
      </c>
      <c r="BE74" s="57">
        <f t="shared" ref="BE74" si="249">V74*(1-$D74)</f>
        <v>80237.88</v>
      </c>
      <c r="BF74" s="57">
        <f t="shared" ref="BF74" si="250">W74*(1-$D74)</f>
        <v>236482.94999999998</v>
      </c>
      <c r="BG74" s="57">
        <f t="shared" ref="BG74" si="251">X74*(1-$D74)</f>
        <v>52614586.809999995</v>
      </c>
      <c r="BH74" s="57">
        <f t="shared" ref="BH74" si="252">Y74*(1-$D74)</f>
        <v>0</v>
      </c>
      <c r="BI74" s="57">
        <f t="shared" ref="BI74" si="253">Z74*(1-$D74)</f>
        <v>0</v>
      </c>
      <c r="BJ74" s="57">
        <f t="shared" ref="BJ74" si="254">AA74*(1-$D74)</f>
        <v>0</v>
      </c>
      <c r="BK74" s="157">
        <f>SUM(BD74:BJ74)</f>
        <v>119895943.2599999</v>
      </c>
      <c r="BL74" s="57">
        <f t="shared" ref="BL74" si="255">AC74*(1-$D74)</f>
        <v>78418793.839999929</v>
      </c>
      <c r="BM74" s="57">
        <f t="shared" ref="BM74" si="256">AD74*(1-$D74)</f>
        <v>41751.919999999998</v>
      </c>
      <c r="BN74" s="57">
        <f t="shared" ref="BN74" si="257">AE74*(1-$D74)</f>
        <v>180432.59000000003</v>
      </c>
      <c r="BO74" s="57">
        <f t="shared" ref="BO74" si="258">AF74*(1-$D74)</f>
        <v>65328429.479999989</v>
      </c>
      <c r="BP74" s="57">
        <f t="shared" ref="BP74" si="259">AG74*(1-$D74)</f>
        <v>0</v>
      </c>
      <c r="BQ74" s="57">
        <f t="shared" ref="BQ74" si="260">AH74*(1-$D74)</f>
        <v>0</v>
      </c>
      <c r="BR74" s="57">
        <f t="shared" ref="BR74" si="261">AI74*(1-$D74)</f>
        <v>0</v>
      </c>
      <c r="BS74" s="157">
        <f>SUM(BL74:BR74)</f>
        <v>143969407.82999992</v>
      </c>
      <c r="BT74" s="157">
        <f t="shared" si="73"/>
        <v>106346032.62999994</v>
      </c>
      <c r="BU74" s="157">
        <f t="shared" si="74"/>
        <v>131932675.54499991</v>
      </c>
      <c r="BV74" s="144"/>
      <c r="BW74" s="158">
        <f>L74*(1-$D74)</f>
        <v>82291696.769999951</v>
      </c>
      <c r="BX74" s="159">
        <f>T74*(1-$D74)</f>
        <v>79227082.659999982</v>
      </c>
      <c r="BY74" s="159">
        <f>AB74*(1-$D74)</f>
        <v>119895943.2599999</v>
      </c>
      <c r="BZ74" s="159">
        <f>AJ74*(1-$D74)</f>
        <v>143969407.82999992</v>
      </c>
      <c r="CA74" s="158">
        <f>AVERAGE(BW74:BZ74)</f>
        <v>106346032.62999994</v>
      </c>
      <c r="CB74" s="157">
        <f>MEDIAN(BW74:BZ74)</f>
        <v>101093820.01499993</v>
      </c>
      <c r="CC74" s="144"/>
      <c r="CD74" s="158">
        <f>+BW74*F$16</f>
        <v>93482371.80118902</v>
      </c>
      <c r="CE74" s="159">
        <f>+BX74*G$16</f>
        <v>86501261.795470014</v>
      </c>
      <c r="CF74" s="159">
        <f>+BY74*H$16</f>
        <v>126753139.95327474</v>
      </c>
      <c r="CG74" s="159">
        <f t="shared" ref="CG74" si="262">BZ74</f>
        <v>143969407.82999992</v>
      </c>
      <c r="CH74" s="158">
        <f>AVERAGE(CD74:CG74)</f>
        <v>112676545.34498343</v>
      </c>
      <c r="CI74" s="157">
        <f>MEDIAN(CD74:CG74)</f>
        <v>110117755.87723188</v>
      </c>
      <c r="CK74" s="61">
        <f t="shared" si="234"/>
        <v>-7.4678357761032044E-2</v>
      </c>
      <c r="CL74" s="62">
        <f t="shared" si="234"/>
        <v>0.46533284396451058</v>
      </c>
      <c r="CM74" s="63">
        <f t="shared" si="234"/>
        <v>0.13582517863519317</v>
      </c>
      <c r="CN74" s="61">
        <f>IFERROR(+CG74/CD74-1,0)</f>
        <v>0.54007012291240075</v>
      </c>
      <c r="CO74" s="29"/>
      <c r="CP74" s="61">
        <f>+CD74/CD$177</f>
        <v>3.938083372466452E-2</v>
      </c>
      <c r="CQ74" s="62">
        <f>+CE74/CE$177</f>
        <v>3.7246165707818968E-2</v>
      </c>
      <c r="CR74" s="63">
        <f>+CF74/CF$177</f>
        <v>5.2637189399278153E-2</v>
      </c>
      <c r="CS74" s="61">
        <f>+CG74/CG$177</f>
        <v>5.9485752835750118E-2</v>
      </c>
      <c r="CU74" s="60">
        <f t="shared" si="207"/>
        <v>100</v>
      </c>
      <c r="CV74" s="132">
        <f t="shared" si="208"/>
        <v>92.5321642238968</v>
      </c>
      <c r="CW74" s="132">
        <f t="shared" si="209"/>
        <v>135.59041936039381</v>
      </c>
      <c r="CX74" s="131">
        <f t="shared" si="210"/>
        <v>154.00701229124007</v>
      </c>
    </row>
    <row r="75" spans="1:102">
      <c r="B75" s="67" t="s">
        <v>105</v>
      </c>
      <c r="C75" s="75"/>
      <c r="D75" s="69"/>
      <c r="E75" s="70">
        <f t="shared" ref="E75:H75" si="263">SUM(E74:E74)</f>
        <v>57622392.389999948</v>
      </c>
      <c r="F75" s="70">
        <f t="shared" si="263"/>
        <v>36086.320000000007</v>
      </c>
      <c r="G75" s="70">
        <f>SUM(G74:G74)</f>
        <v>107582.53000000001</v>
      </c>
      <c r="H75" s="70">
        <f t="shared" si="263"/>
        <v>24525635.530000009</v>
      </c>
      <c r="I75" s="160">
        <f>SUM(I74:I74)</f>
        <v>0</v>
      </c>
      <c r="J75" s="160">
        <f>SUM(J74:J74)</f>
        <v>0</v>
      </c>
      <c r="K75" s="160">
        <f>SUM(K74:K74)</f>
        <v>0</v>
      </c>
      <c r="L75" s="160">
        <f>SUM(L74:L74)</f>
        <v>82291696.769999951</v>
      </c>
      <c r="M75" s="160">
        <f t="shared" ref="M75:O75" si="264">SUM(M74:M74)</f>
        <v>50760938.779999979</v>
      </c>
      <c r="N75" s="160">
        <f t="shared" si="264"/>
        <v>8337.02</v>
      </c>
      <c r="O75" s="160">
        <f t="shared" si="264"/>
        <v>157582.54</v>
      </c>
      <c r="P75" s="160">
        <f t="shared" ref="P75:U75" si="265">SUM(P74:P74)</f>
        <v>28300224.319999997</v>
      </c>
      <c r="Q75" s="160">
        <f t="shared" si="265"/>
        <v>0</v>
      </c>
      <c r="R75" s="160">
        <f t="shared" si="265"/>
        <v>0</v>
      </c>
      <c r="S75" s="160">
        <f t="shared" si="265"/>
        <v>0</v>
      </c>
      <c r="T75" s="160">
        <f t="shared" si="265"/>
        <v>79227082.659999982</v>
      </c>
      <c r="U75" s="160">
        <f t="shared" si="265"/>
        <v>66964635.619999915</v>
      </c>
      <c r="V75" s="160">
        <f t="shared" ref="V75:W75" si="266">SUM(V74:V74)</f>
        <v>80237.88</v>
      </c>
      <c r="W75" s="160">
        <f t="shared" si="266"/>
        <v>236482.94999999998</v>
      </c>
      <c r="X75" s="160">
        <f t="shared" ref="X75:AC75" si="267">SUM(X74:X74)</f>
        <v>52614586.809999995</v>
      </c>
      <c r="Y75" s="160">
        <f t="shared" si="267"/>
        <v>0</v>
      </c>
      <c r="Z75" s="160">
        <f t="shared" si="267"/>
        <v>0</v>
      </c>
      <c r="AA75" s="160">
        <f t="shared" si="267"/>
        <v>0</v>
      </c>
      <c r="AB75" s="160">
        <f t="shared" si="267"/>
        <v>119895943.2599999</v>
      </c>
      <c r="AC75" s="160">
        <f t="shared" si="267"/>
        <v>78418793.839999929</v>
      </c>
      <c r="AD75" s="160">
        <f t="shared" ref="AD75:AE75" si="268">SUM(AD74:AD74)</f>
        <v>41751.919999999998</v>
      </c>
      <c r="AE75" s="160">
        <f t="shared" si="268"/>
        <v>180432.59000000003</v>
      </c>
      <c r="AF75" s="160">
        <f>SUM(AF74:AF74)</f>
        <v>65328429.479999989</v>
      </c>
      <c r="AG75" s="160">
        <f>SUM(AG74:AG74)</f>
        <v>0</v>
      </c>
      <c r="AH75" s="160">
        <f>SUM(AH74:AH74)</f>
        <v>0</v>
      </c>
      <c r="AI75" s="160">
        <f>SUM(AI74:AI74)</f>
        <v>0</v>
      </c>
      <c r="AJ75" s="160">
        <f>SUM(AJ74:AJ74)</f>
        <v>143969407.82999992</v>
      </c>
      <c r="AK75" s="161">
        <f t="shared" si="205"/>
        <v>106346032.62999994</v>
      </c>
      <c r="AL75" s="161">
        <f t="shared" si="206"/>
        <v>131932675.54499991</v>
      </c>
      <c r="AM75" s="144"/>
      <c r="AN75" s="133">
        <f t="shared" ref="AN75:AO75" si="269">SUM(AN74:AN74)</f>
        <v>57622392.389999948</v>
      </c>
      <c r="AO75" s="134">
        <f t="shared" si="269"/>
        <v>36086.320000000007</v>
      </c>
      <c r="AP75" s="70">
        <f>SUM(AP74:AP74)</f>
        <v>107582.53000000001</v>
      </c>
      <c r="AQ75" s="70">
        <f t="shared" ref="AQ75" si="270">SUM(AQ74:AQ74)</f>
        <v>24525635.530000009</v>
      </c>
      <c r="AR75" s="160">
        <f>SUM(AR74:AR74)</f>
        <v>0</v>
      </c>
      <c r="AS75" s="160">
        <f>SUM(AS74:AS74)</f>
        <v>0</v>
      </c>
      <c r="AT75" s="160">
        <f>SUM(AT74:AT74)</f>
        <v>0</v>
      </c>
      <c r="AU75" s="160">
        <f>SUM(AU74:AU74)</f>
        <v>82291696.769999951</v>
      </c>
      <c r="AV75" s="160">
        <f t="shared" ref="AV75:AX75" si="271">SUM(AV74:AV74)</f>
        <v>50760938.779999979</v>
      </c>
      <c r="AW75" s="160">
        <f t="shared" si="271"/>
        <v>8337.02</v>
      </c>
      <c r="AX75" s="160">
        <f t="shared" si="271"/>
        <v>157582.54</v>
      </c>
      <c r="AY75" s="160">
        <f t="shared" ref="AY75" si="272">SUM(AY74:AY74)</f>
        <v>28300224.319999997</v>
      </c>
      <c r="AZ75" s="160">
        <f t="shared" ref="AZ75" si="273">SUM(AZ74:AZ74)</f>
        <v>0</v>
      </c>
      <c r="BA75" s="160">
        <f t="shared" ref="BA75" si="274">SUM(BA74:BA74)</f>
        <v>0</v>
      </c>
      <c r="BB75" s="160">
        <f t="shared" ref="BB75" si="275">SUM(BB74:BB74)</f>
        <v>0</v>
      </c>
      <c r="BC75" s="160">
        <f t="shared" ref="BC75" si="276">SUM(BC74:BC74)</f>
        <v>79227082.659999982</v>
      </c>
      <c r="BD75" s="160">
        <f t="shared" ref="BD75:BF75" si="277">SUM(BD74:BD74)</f>
        <v>66964635.619999915</v>
      </c>
      <c r="BE75" s="160">
        <f t="shared" si="277"/>
        <v>80237.88</v>
      </c>
      <c r="BF75" s="160">
        <f t="shared" si="277"/>
        <v>236482.94999999998</v>
      </c>
      <c r="BG75" s="160">
        <f t="shared" ref="BG75" si="278">SUM(BG74:BG74)</f>
        <v>52614586.809999995</v>
      </c>
      <c r="BH75" s="160">
        <f t="shared" ref="BH75" si="279">SUM(BH74:BH74)</f>
        <v>0</v>
      </c>
      <c r="BI75" s="160">
        <f t="shared" ref="BI75" si="280">SUM(BI74:BI74)</f>
        <v>0</v>
      </c>
      <c r="BJ75" s="160">
        <f t="shared" ref="BJ75" si="281">SUM(BJ74:BJ74)</f>
        <v>0</v>
      </c>
      <c r="BK75" s="160">
        <f t="shared" ref="BK75" si="282">SUM(BK74:BK74)</f>
        <v>119895943.2599999</v>
      </c>
      <c r="BL75" s="160">
        <f t="shared" ref="BL75:BN75" si="283">SUM(BL74:BL74)</f>
        <v>78418793.839999929</v>
      </c>
      <c r="BM75" s="160">
        <f t="shared" si="283"/>
        <v>41751.919999999998</v>
      </c>
      <c r="BN75" s="160">
        <f t="shared" si="283"/>
        <v>180432.59000000003</v>
      </c>
      <c r="BO75" s="160">
        <f>SUM(BO74:BO74)</f>
        <v>65328429.479999989</v>
      </c>
      <c r="BP75" s="160">
        <f>SUM(BP74:BP74)</f>
        <v>0</v>
      </c>
      <c r="BQ75" s="160">
        <f>SUM(BQ74:BQ74)</f>
        <v>0</v>
      </c>
      <c r="BR75" s="160">
        <f>SUM(BR74:BR74)</f>
        <v>0</v>
      </c>
      <c r="BS75" s="160">
        <f>SUM(BS74:BS74)</f>
        <v>143969407.82999992</v>
      </c>
      <c r="BT75" s="161">
        <f t="shared" si="73"/>
        <v>106346032.62999994</v>
      </c>
      <c r="BU75" s="161">
        <f t="shared" si="74"/>
        <v>131932675.54499991</v>
      </c>
      <c r="BV75" s="144"/>
      <c r="BW75" s="162">
        <f>SUM(BW74:BW74)</f>
        <v>82291696.769999951</v>
      </c>
      <c r="BX75" s="163">
        <f>SUM(BX74:BX74)</f>
        <v>79227082.659999982</v>
      </c>
      <c r="BY75" s="163">
        <f>SUM(BY74:BY74)</f>
        <v>119895943.2599999</v>
      </c>
      <c r="BZ75" s="163">
        <f>SUM(BZ74:BZ74)</f>
        <v>143969407.82999992</v>
      </c>
      <c r="CA75" s="162">
        <f>SUM(CA74)</f>
        <v>106346032.62999994</v>
      </c>
      <c r="CB75" s="164">
        <f>SUM(CB74)</f>
        <v>101093820.01499993</v>
      </c>
      <c r="CC75" s="144"/>
      <c r="CD75" s="162">
        <f>SUM(CD74)</f>
        <v>93482371.80118902</v>
      </c>
      <c r="CE75" s="163">
        <f t="shared" ref="CE75:CI75" si="284">SUM(CE74)</f>
        <v>86501261.795470014</v>
      </c>
      <c r="CF75" s="163">
        <f t="shared" si="284"/>
        <v>126753139.95327474</v>
      </c>
      <c r="CG75" s="163">
        <f t="shared" si="284"/>
        <v>143969407.82999992</v>
      </c>
      <c r="CH75" s="162">
        <f t="shared" si="284"/>
        <v>112676545.34498343</v>
      </c>
      <c r="CI75" s="164">
        <f t="shared" si="284"/>
        <v>110117755.87723188</v>
      </c>
      <c r="CK75" s="73">
        <f t="shared" si="234"/>
        <v>-7.4678357761032044E-2</v>
      </c>
      <c r="CL75" s="74">
        <f t="shared" si="234"/>
        <v>0.46533284396451058</v>
      </c>
      <c r="CM75" s="74">
        <f t="shared" si="234"/>
        <v>0.13582517863519317</v>
      </c>
      <c r="CN75" s="74">
        <f>IFERROR(+CG75/CD75-1,0)</f>
        <v>0.54007012291240075</v>
      </c>
      <c r="CO75" s="76"/>
      <c r="CP75" s="73">
        <f>SUM(CP74)</f>
        <v>3.938083372466452E-2</v>
      </c>
      <c r="CQ75" s="74">
        <f t="shared" ref="CQ75:CS75" si="285">SUM(CQ74)</f>
        <v>3.7246165707818968E-2</v>
      </c>
      <c r="CR75" s="74">
        <f t="shared" si="285"/>
        <v>5.2637189399278153E-2</v>
      </c>
      <c r="CS75" s="74">
        <f t="shared" si="285"/>
        <v>5.9485752835750118E-2</v>
      </c>
      <c r="CU75" s="133">
        <f t="shared" si="207"/>
        <v>100</v>
      </c>
      <c r="CV75" s="134">
        <f t="shared" si="208"/>
        <v>92.5321642238968</v>
      </c>
      <c r="CW75" s="134">
        <f t="shared" si="209"/>
        <v>135.59041936039381</v>
      </c>
      <c r="CX75" s="136">
        <f t="shared" si="210"/>
        <v>154.00701229124007</v>
      </c>
    </row>
    <row r="76" spans="1:102">
      <c r="A76" s="29">
        <v>301</v>
      </c>
      <c r="B76" s="29" t="s">
        <v>5</v>
      </c>
      <c r="C76" s="55" t="s">
        <v>106</v>
      </c>
      <c r="D76" s="56">
        <v>0</v>
      </c>
      <c r="E76" s="57">
        <f>VLOOKUP(A76,AuxOPEXSaneparOriginal!$B$4:$F$177,3,0)</f>
        <v>14144220.020000003</v>
      </c>
      <c r="F76" s="156">
        <f>VLOOKUP(A76,AuxOPEXSaneparOriginal!$B$4:$F$177,4,0)</f>
        <v>1215282.6799999997</v>
      </c>
      <c r="G76" s="57">
        <f>VLOOKUP(A76,AuxOPEXSaneparOriginal!$B$4:$K$177,8,0)</f>
        <v>155444.75</v>
      </c>
      <c r="H76" s="156">
        <f>VLOOKUP(A76,AuxOPEXSaneparOriginal!$B$4:$K$177,9,0)</f>
        <v>11528181.520000007</v>
      </c>
      <c r="I76" s="57">
        <f>VLOOKUP(A76,AuxOPEXSaneparOriginal!$B$4:$N$177,13,0)</f>
        <v>0</v>
      </c>
      <c r="J76" s="57">
        <f>VLOOKUP(A76,AuxOPEXSaneparOriginal!$B$4:$Q$177,16,0)</f>
        <v>0</v>
      </c>
      <c r="K76" s="57">
        <f>VLOOKUP(A76,AuxOPEXSaneparOriginal!$B$4:$V$177,21,0)</f>
        <v>0</v>
      </c>
      <c r="L76" s="157">
        <f t="shared" ref="L76:L105" si="286">SUM(E76:K76)</f>
        <v>27043128.97000001</v>
      </c>
      <c r="M76" s="19">
        <f>VLOOKUP(A76,AuxOPEXSaneparOriginal!$B$4:$AB$177,27,0)</f>
        <v>14984970.170000013</v>
      </c>
      <c r="N76" s="156">
        <f>VLOOKUP(A76,AuxOPEXSaneparOriginal!$B$4:$AC$177,28,0)</f>
        <v>2556115.5100000002</v>
      </c>
      <c r="O76" s="156">
        <f>VLOOKUP(A76,AuxOPEXSaneparOriginal!$B$4:$AD$177,29,0)</f>
        <v>106263.34</v>
      </c>
      <c r="P76" s="156">
        <f>VLOOKUP(A76,AuxOPEXSaneparOriginal!$B$4:$AE$177,30,0)</f>
        <v>11224914.760000007</v>
      </c>
      <c r="Q76" s="146">
        <f>VLOOKUP(A76,AuxOPEXSaneparOriginal!$B$4:$AF$177,31,0)</f>
        <v>0</v>
      </c>
      <c r="R76" s="146">
        <f>VLOOKUP(A76,AuxOPEXSaneparOriginal!$B$4:$AG$177,32,0)</f>
        <v>0</v>
      </c>
      <c r="S76" s="146">
        <f>VLOOKUP(A76,AuxOPEXSaneparOriginal!$B$4:$AH$177,33,0)</f>
        <v>0</v>
      </c>
      <c r="T76" s="157">
        <f t="shared" ref="T76:T105" si="287">SUM(M76:S76)</f>
        <v>28872263.780000024</v>
      </c>
      <c r="U76" s="156">
        <f>VLOOKUP(A76,AuxOPEXSaneparOriginal!$B$4:$AI$177,34,0)</f>
        <v>15801794.170000007</v>
      </c>
      <c r="V76" s="156">
        <f>VLOOKUP(A76,AuxOPEXSaneparOriginal!$B$4:$AJ$177,35,0)</f>
        <v>4224083.7999999961</v>
      </c>
      <c r="W76" s="156">
        <f>VLOOKUP(A76,AuxOPEXSaneparOriginal!$B$4:$AK$177,36,0)</f>
        <v>48630.39</v>
      </c>
      <c r="X76" s="19">
        <f>+VLOOKUP(A76,AuxOPEXSaneparOriginal!$B$4:$AL$177,37,0)</f>
        <v>12056648.340000004</v>
      </c>
      <c r="Y76" s="146">
        <f>VLOOKUP(A76,AuxOPEXSaneparOriginal!$B$4:$AM$177,38,0)</f>
        <v>0</v>
      </c>
      <c r="Z76" s="146">
        <f>VLOOKUP(A76,AuxOPEXSaneparOriginal!$B$4:$AN$177,39,0)</f>
        <v>0</v>
      </c>
      <c r="AA76" s="146">
        <f>VLOOKUP(A76,AuxOPEXSaneparOriginal!$B$4:$AO$177,40,0)</f>
        <v>0</v>
      </c>
      <c r="AB76" s="157">
        <f t="shared" ref="AB76:AB105" si="288">SUM(U76:AA76)</f>
        <v>32131156.700000007</v>
      </c>
      <c r="AC76" s="156">
        <f>VLOOKUP(A76,AuxOPEXSaneparOriginal!$B$4:$AP$177,41,0)</f>
        <v>18723464.800000016</v>
      </c>
      <c r="AD76" s="156">
        <f>+VLOOKUP(A76,AuxOPEXSaneparOriginal!$B$4:$AQ$177,42,0)</f>
        <v>1580521.8000000003</v>
      </c>
      <c r="AE76" s="156">
        <f>VLOOKUP(A76,AuxOPEXSaneparOriginal!$B$4:$AR$177,43,0)</f>
        <v>298637.51000000007</v>
      </c>
      <c r="AF76" s="156">
        <f>+VLOOKUP(A76,AuxOPEXSaneparOriginal!$B$4:$AS$177,44,0)</f>
        <v>11526885.289999995</v>
      </c>
      <c r="AG76" s="146">
        <f>VLOOKUP(A76,AuxOPEXSaneparOriginal!$B$4:$AT$177,45,0)</f>
        <v>0</v>
      </c>
      <c r="AH76" s="146">
        <f>VLOOKUP(A76,AuxOPEXSaneparOriginal!$B$4:$AU$177,46,0)</f>
        <v>0</v>
      </c>
      <c r="AI76" s="146">
        <f>VLOOKUP(A76,AuxOPEXSaneparOriginal!$B$4:$AV$177,47,0)</f>
        <v>0</v>
      </c>
      <c r="AJ76" s="157">
        <f t="shared" ref="AJ76:AJ105" si="289">SUM(AC76:AI76)</f>
        <v>32129509.400000013</v>
      </c>
      <c r="AK76" s="157">
        <f t="shared" si="205"/>
        <v>30044014.712500017</v>
      </c>
      <c r="AL76" s="157">
        <f t="shared" si="206"/>
        <v>32130333.050000012</v>
      </c>
      <c r="AM76" s="144"/>
      <c r="AN76" s="167">
        <f t="shared" ref="AN76:AN139" si="290">E76*(1-$D76)</f>
        <v>14144220.020000003</v>
      </c>
      <c r="AO76" s="168">
        <f t="shared" ref="AO76:AO139" si="291">F76*(1-$D76)</f>
        <v>1215282.6799999997</v>
      </c>
      <c r="AP76" s="57">
        <f t="shared" ref="AP76:AP139" si="292">G76*(1-$D76)</f>
        <v>155444.75</v>
      </c>
      <c r="AQ76" s="57">
        <f t="shared" ref="AQ76:AQ139" si="293">H76*(1-$D76)</f>
        <v>11528181.520000007</v>
      </c>
      <c r="AR76" s="57">
        <f t="shared" ref="AR76:AR139" si="294">I76*(1-$D76)</f>
        <v>0</v>
      </c>
      <c r="AS76" s="57">
        <f t="shared" ref="AS76:AS139" si="295">J76*(1-$D76)</f>
        <v>0</v>
      </c>
      <c r="AT76" s="57">
        <f t="shared" ref="AT76:AT139" si="296">K76*(1-$D76)</f>
        <v>0</v>
      </c>
      <c r="AU76" s="157">
        <f t="shared" ref="AU76:AU105" si="297">SUM(AN76:AT76)</f>
        <v>27043128.97000001</v>
      </c>
      <c r="AV76" s="57">
        <f t="shared" ref="AV76:AV105" si="298">M76*(1-$D76)</f>
        <v>14984970.170000013</v>
      </c>
      <c r="AW76" s="57">
        <f t="shared" ref="AW76:AW105" si="299">N76*(1-$D76)</f>
        <v>2556115.5100000002</v>
      </c>
      <c r="AX76" s="57">
        <f t="shared" ref="AX76:AX105" si="300">O76*(1-$D76)</f>
        <v>106263.34</v>
      </c>
      <c r="AY76" s="57">
        <f t="shared" ref="AY76:AY105" si="301">P76*(1-$D76)</f>
        <v>11224914.760000007</v>
      </c>
      <c r="AZ76" s="57">
        <f t="shared" ref="AZ76:AZ105" si="302">Q76*(1-$D76)</f>
        <v>0</v>
      </c>
      <c r="BA76" s="57">
        <f t="shared" ref="BA76:BA105" si="303">R76*(1-$D76)</f>
        <v>0</v>
      </c>
      <c r="BB76" s="57">
        <f t="shared" ref="BB76:BB105" si="304">S76*(1-$D76)</f>
        <v>0</v>
      </c>
      <c r="BC76" s="157">
        <f t="shared" ref="BC76:BC105" si="305">SUM(AV76:BB76)</f>
        <v>28872263.780000024</v>
      </c>
      <c r="BD76" s="57">
        <f t="shared" ref="BD76:BD105" si="306">U76*(1-$D76)</f>
        <v>15801794.170000007</v>
      </c>
      <c r="BE76" s="57">
        <f t="shared" ref="BE76:BE105" si="307">V76*(1-$D76)</f>
        <v>4224083.7999999961</v>
      </c>
      <c r="BF76" s="57">
        <f t="shared" ref="BF76:BF105" si="308">W76*(1-$D76)</f>
        <v>48630.39</v>
      </c>
      <c r="BG76" s="57">
        <f t="shared" ref="BG76:BG105" si="309">X76*(1-$D76)</f>
        <v>12056648.340000004</v>
      </c>
      <c r="BH76" s="57">
        <f t="shared" ref="BH76:BH105" si="310">Y76*(1-$D76)</f>
        <v>0</v>
      </c>
      <c r="BI76" s="57">
        <f t="shared" ref="BI76:BI105" si="311">Z76*(1-$D76)</f>
        <v>0</v>
      </c>
      <c r="BJ76" s="57">
        <f t="shared" ref="BJ76:BJ105" si="312">AA76*(1-$D76)</f>
        <v>0</v>
      </c>
      <c r="BK76" s="157">
        <f t="shared" ref="BK76:BK105" si="313">SUM(BD76:BJ76)</f>
        <v>32131156.700000007</v>
      </c>
      <c r="BL76" s="57">
        <f t="shared" ref="BL76:BL105" si="314">AC76*(1-$D76)</f>
        <v>18723464.800000016</v>
      </c>
      <c r="BM76" s="57">
        <f t="shared" ref="BM76:BM105" si="315">AD76*(1-$D76)</f>
        <v>1580521.8000000003</v>
      </c>
      <c r="BN76" s="57">
        <f t="shared" ref="BN76:BN105" si="316">AE76*(1-$D76)</f>
        <v>298637.51000000007</v>
      </c>
      <c r="BO76" s="57">
        <f t="shared" ref="BO76:BO105" si="317">AF76*(1-$D76)</f>
        <v>11526885.289999995</v>
      </c>
      <c r="BP76" s="57">
        <f t="shared" ref="BP76:BP105" si="318">AG76*(1-$D76)</f>
        <v>0</v>
      </c>
      <c r="BQ76" s="57">
        <f t="shared" ref="BQ76:BQ105" si="319">AH76*(1-$D76)</f>
        <v>0</v>
      </c>
      <c r="BR76" s="57">
        <f t="shared" ref="BR76:BR105" si="320">AI76*(1-$D76)</f>
        <v>0</v>
      </c>
      <c r="BS76" s="157">
        <f t="shared" ref="BS76:BS105" si="321">SUM(BL76:BR76)</f>
        <v>32129509.400000013</v>
      </c>
      <c r="BT76" s="157">
        <f t="shared" si="73"/>
        <v>30044014.712500017</v>
      </c>
      <c r="BU76" s="157">
        <f t="shared" si="74"/>
        <v>32130333.050000012</v>
      </c>
      <c r="BV76" s="144"/>
      <c r="BW76" s="158">
        <f t="shared" ref="BW76:BW105" si="322">L76*(1-$D76)</f>
        <v>27043128.97000001</v>
      </c>
      <c r="BX76" s="159">
        <f t="shared" ref="BX76:BX105" si="323">T76*(1-$D76)</f>
        <v>28872263.780000024</v>
      </c>
      <c r="BY76" s="159">
        <f t="shared" ref="BY76:BY105" si="324">AB76*(1-$D76)</f>
        <v>32131156.700000007</v>
      </c>
      <c r="BZ76" s="159">
        <f t="shared" ref="BZ76:BZ105" si="325">AJ76*(1-$D76)</f>
        <v>32129509.400000013</v>
      </c>
      <c r="CA76" s="158">
        <f t="shared" ref="CA76:CA105" si="326">AVERAGE(BW76:BZ76)</f>
        <v>30044014.712500013</v>
      </c>
      <c r="CB76" s="157">
        <f t="shared" ref="CB76:CB105" si="327">MEDIAN(BW76:BZ76)</f>
        <v>30500886.590000018</v>
      </c>
      <c r="CC76" s="144"/>
      <c r="CD76" s="158">
        <f t="shared" ref="CD76:CD105" si="328">+BW76*F$16</f>
        <v>30720667.288059473</v>
      </c>
      <c r="CE76" s="159">
        <f t="shared" ref="CE76:CE105" si="329">+BX76*G$16</f>
        <v>31523150.468376081</v>
      </c>
      <c r="CF76" s="159">
        <f t="shared" ref="CF76:CF105" si="330">+BY76*H$16</f>
        <v>33968830.732027434</v>
      </c>
      <c r="CG76" s="159">
        <f t="shared" ref="CG76:CG139" si="331">BZ76</f>
        <v>32129509.400000013</v>
      </c>
      <c r="CH76" s="158">
        <f t="shared" ref="CH76:CH105" si="332">AVERAGE(CD76:CG76)</f>
        <v>32085539.472115748</v>
      </c>
      <c r="CI76" s="157">
        <f t="shared" ref="CI76:CI105" si="333">MEDIAN(CD76:CG76)</f>
        <v>31826329.934188046</v>
      </c>
      <c r="CK76" s="61">
        <f t="shared" ref="CK76:CK105" si="334">IFERROR(+CE76/CD76-1,0)</f>
        <v>2.6121931948676069E-2</v>
      </c>
      <c r="CL76" s="62">
        <f t="shared" ref="CL76:CL105" si="335">IFERROR(+CF76/CE76-1,0)</f>
        <v>7.7583624330469503E-2</v>
      </c>
      <c r="CM76" s="63">
        <f t="shared" ref="CM76:CM105" si="336">IFERROR(+CG76/CF76-1,0)</f>
        <v>-5.4147325427166382E-2</v>
      </c>
      <c r="CN76" s="61">
        <f t="shared" ref="CN76:CN105" si="337">IFERROR(+CG76/CD76-1,0)</f>
        <v>4.5859749683501594E-2</v>
      </c>
      <c r="CO76" s="29"/>
      <c r="CP76" s="61">
        <f t="shared" ref="CP76:CP105" si="338">+CD76/CD$177</f>
        <v>1.2941536110730375E-2</v>
      </c>
      <c r="CQ76" s="62">
        <f t="shared" ref="CQ76:CQ105" si="339">+CE76/CE$177</f>
        <v>1.3573402995598081E-2</v>
      </c>
      <c r="CR76" s="63">
        <f t="shared" ref="CR76:CR105" si="340">+CF76/CF$177</f>
        <v>1.4106347010992162E-2</v>
      </c>
      <c r="CS76" s="61">
        <f t="shared" ref="CS76:CS105" si="341">+CG76/CG$177</f>
        <v>1.3275376232422417E-2</v>
      </c>
      <c r="CU76" s="60">
        <f t="shared" si="207"/>
        <v>100</v>
      </c>
      <c r="CV76" s="132">
        <f t="shared" si="208"/>
        <v>102.6121931948676</v>
      </c>
      <c r="CW76" s="132">
        <f t="shared" si="209"/>
        <v>110.57321904342376</v>
      </c>
      <c r="CX76" s="131">
        <f t="shared" si="210"/>
        <v>104.58597496835016</v>
      </c>
    </row>
    <row r="77" spans="1:102">
      <c r="A77" s="29">
        <v>302</v>
      </c>
      <c r="B77" s="29" t="s">
        <v>5</v>
      </c>
      <c r="C77" s="55" t="s">
        <v>107</v>
      </c>
      <c r="D77" s="56">
        <v>0</v>
      </c>
      <c r="E77" s="57">
        <f>VLOOKUP(A77,AuxOPEXSaneparOriginal!$B$4:$F$177,3,0)</f>
        <v>0</v>
      </c>
      <c r="F77" s="156">
        <f>VLOOKUP(A77,AuxOPEXSaneparOriginal!$B$4:$F$177,4,0)</f>
        <v>0</v>
      </c>
      <c r="G77" s="57">
        <f>VLOOKUP(A77,AuxOPEXSaneparOriginal!$B$4:$K$177,8,0)</f>
        <v>0</v>
      </c>
      <c r="H77" s="156">
        <f>VLOOKUP(A77,AuxOPEXSaneparOriginal!$B$4:$K$177,9,0)</f>
        <v>0</v>
      </c>
      <c r="I77" s="57">
        <f>VLOOKUP(A77,AuxOPEXSaneparOriginal!$B$4:$N$177,13,0)</f>
        <v>777030.7</v>
      </c>
      <c r="J77" s="57">
        <f>VLOOKUP(A77,AuxOPEXSaneparOriginal!$B$4:$Q$177,16,0)</f>
        <v>4843170.2399999993</v>
      </c>
      <c r="K77" s="57">
        <f>VLOOKUP(A77,AuxOPEXSaneparOriginal!$B$4:$V$177,21,0)</f>
        <v>0</v>
      </c>
      <c r="L77" s="157">
        <f t="shared" si="286"/>
        <v>5620200.9399999995</v>
      </c>
      <c r="M77" s="19">
        <f>VLOOKUP(A77,AuxOPEXSaneparOriginal!$B$4:$AB$177,27,0)</f>
        <v>0</v>
      </c>
      <c r="N77" s="156">
        <f>VLOOKUP(A77,AuxOPEXSaneparOriginal!$B$4:$AC$177,28,0)</f>
        <v>0</v>
      </c>
      <c r="O77" s="156">
        <f>VLOOKUP(A77,AuxOPEXSaneparOriginal!$B$4:$AD$177,29,0)</f>
        <v>0</v>
      </c>
      <c r="P77" s="156">
        <f>VLOOKUP(A77,AuxOPEXSaneparOriginal!$B$4:$AE$177,30,0)</f>
        <v>0</v>
      </c>
      <c r="Q77" s="146">
        <f>VLOOKUP(A77,AuxOPEXSaneparOriginal!$B$4:$AF$177,31,0)</f>
        <v>772036.63000000012</v>
      </c>
      <c r="R77" s="146">
        <f>VLOOKUP(A77,AuxOPEXSaneparOriginal!$B$4:$AG$177,32,0)</f>
        <v>5028837.290000001</v>
      </c>
      <c r="S77" s="146">
        <f>VLOOKUP(A77,AuxOPEXSaneparOriginal!$B$4:$AH$177,33,0)</f>
        <v>0</v>
      </c>
      <c r="T77" s="157">
        <f t="shared" si="287"/>
        <v>5800873.9200000009</v>
      </c>
      <c r="U77" s="156">
        <f>VLOOKUP(A77,AuxOPEXSaneparOriginal!$B$4:$AI$177,34,0)</f>
        <v>0</v>
      </c>
      <c r="V77" s="156">
        <f>VLOOKUP(A77,AuxOPEXSaneparOriginal!$B$4:$AJ$177,35,0)</f>
        <v>0</v>
      </c>
      <c r="W77" s="156">
        <f>VLOOKUP(A77,AuxOPEXSaneparOriginal!$B$4:$AK$177,36,0)</f>
        <v>0</v>
      </c>
      <c r="X77" s="19">
        <f>+VLOOKUP(A77,AuxOPEXSaneparOriginal!$B$4:$AL$177,37,0)</f>
        <v>0</v>
      </c>
      <c r="Y77" s="146">
        <f>VLOOKUP(A77,AuxOPEXSaneparOriginal!$B$4:$AM$177,38,0)</f>
        <v>825008.59</v>
      </c>
      <c r="Z77" s="146">
        <f>VLOOKUP(A77,AuxOPEXSaneparOriginal!$B$4:$AN$177,39,0)</f>
        <v>6846434.2599999988</v>
      </c>
      <c r="AA77" s="146">
        <f>VLOOKUP(A77,AuxOPEXSaneparOriginal!$B$4:$AO$177,40,0)</f>
        <v>0</v>
      </c>
      <c r="AB77" s="157">
        <f t="shared" si="288"/>
        <v>7671442.8499999987</v>
      </c>
      <c r="AC77" s="156">
        <f>VLOOKUP(A77,AuxOPEXSaneparOriginal!$B$4:$AP$177,41,0)</f>
        <v>0</v>
      </c>
      <c r="AD77" s="156">
        <f>+VLOOKUP(A77,AuxOPEXSaneparOriginal!$B$4:$AQ$177,42,0)</f>
        <v>0</v>
      </c>
      <c r="AE77" s="156">
        <f>VLOOKUP(A77,AuxOPEXSaneparOriginal!$B$4:$AR$177,43,0)</f>
        <v>0</v>
      </c>
      <c r="AF77" s="156">
        <f>+VLOOKUP(A77,AuxOPEXSaneparOriginal!$B$4:$AS$177,44,0)</f>
        <v>0</v>
      </c>
      <c r="AG77" s="146">
        <f>VLOOKUP(A77,AuxOPEXSaneparOriginal!$B$4:$AT$177,45,0)</f>
        <v>757613.02000000014</v>
      </c>
      <c r="AH77" s="146">
        <f>VLOOKUP(A77,AuxOPEXSaneparOriginal!$B$4:$AU$177,46,0)</f>
        <v>8704117.5600000005</v>
      </c>
      <c r="AI77" s="146">
        <f>VLOOKUP(A77,AuxOPEXSaneparOriginal!$B$4:$AV$177,47,0)</f>
        <v>0</v>
      </c>
      <c r="AJ77" s="157">
        <f t="shared" si="289"/>
        <v>9461730.5800000001</v>
      </c>
      <c r="AK77" s="157">
        <f t="shared" si="205"/>
        <v>7138562.0724999998</v>
      </c>
      <c r="AL77" s="157">
        <f t="shared" si="206"/>
        <v>8566586.7149999999</v>
      </c>
      <c r="AM77" s="144"/>
      <c r="AN77" s="167">
        <f t="shared" si="290"/>
        <v>0</v>
      </c>
      <c r="AO77" s="168">
        <f t="shared" si="291"/>
        <v>0</v>
      </c>
      <c r="AP77" s="57">
        <f t="shared" si="292"/>
        <v>0</v>
      </c>
      <c r="AQ77" s="57">
        <f t="shared" si="293"/>
        <v>0</v>
      </c>
      <c r="AR77" s="57">
        <f t="shared" si="294"/>
        <v>777030.7</v>
      </c>
      <c r="AS77" s="57">
        <f t="shared" si="295"/>
        <v>4843170.2399999993</v>
      </c>
      <c r="AT77" s="57">
        <f t="shared" si="296"/>
        <v>0</v>
      </c>
      <c r="AU77" s="157">
        <f t="shared" si="297"/>
        <v>5620200.9399999995</v>
      </c>
      <c r="AV77" s="57">
        <f t="shared" si="298"/>
        <v>0</v>
      </c>
      <c r="AW77" s="57">
        <f t="shared" si="299"/>
        <v>0</v>
      </c>
      <c r="AX77" s="57">
        <f t="shared" si="300"/>
        <v>0</v>
      </c>
      <c r="AY77" s="57">
        <f t="shared" si="301"/>
        <v>0</v>
      </c>
      <c r="AZ77" s="57">
        <f t="shared" si="302"/>
        <v>772036.63000000012</v>
      </c>
      <c r="BA77" s="57">
        <f t="shared" si="303"/>
        <v>5028837.290000001</v>
      </c>
      <c r="BB77" s="57">
        <f t="shared" si="304"/>
        <v>0</v>
      </c>
      <c r="BC77" s="157">
        <f t="shared" si="305"/>
        <v>5800873.9200000009</v>
      </c>
      <c r="BD77" s="57">
        <f t="shared" si="306"/>
        <v>0</v>
      </c>
      <c r="BE77" s="57">
        <f t="shared" si="307"/>
        <v>0</v>
      </c>
      <c r="BF77" s="57">
        <f t="shared" si="308"/>
        <v>0</v>
      </c>
      <c r="BG77" s="57">
        <f t="shared" si="309"/>
        <v>0</v>
      </c>
      <c r="BH77" s="57">
        <f t="shared" si="310"/>
        <v>825008.59</v>
      </c>
      <c r="BI77" s="57">
        <f t="shared" si="311"/>
        <v>6846434.2599999988</v>
      </c>
      <c r="BJ77" s="57">
        <f t="shared" si="312"/>
        <v>0</v>
      </c>
      <c r="BK77" s="157">
        <f t="shared" si="313"/>
        <v>7671442.8499999987</v>
      </c>
      <c r="BL77" s="57">
        <f t="shared" si="314"/>
        <v>0</v>
      </c>
      <c r="BM77" s="57">
        <f t="shared" si="315"/>
        <v>0</v>
      </c>
      <c r="BN77" s="57">
        <f t="shared" si="316"/>
        <v>0</v>
      </c>
      <c r="BO77" s="57">
        <f t="shared" si="317"/>
        <v>0</v>
      </c>
      <c r="BP77" s="57">
        <f t="shared" si="318"/>
        <v>757613.02000000014</v>
      </c>
      <c r="BQ77" s="57">
        <f t="shared" si="319"/>
        <v>8704117.5600000005</v>
      </c>
      <c r="BR77" s="57">
        <f t="shared" si="320"/>
        <v>0</v>
      </c>
      <c r="BS77" s="157">
        <f t="shared" si="321"/>
        <v>9461730.5800000001</v>
      </c>
      <c r="BT77" s="157">
        <f t="shared" si="73"/>
        <v>7138562.0724999998</v>
      </c>
      <c r="BU77" s="157">
        <f t="shared" si="74"/>
        <v>8566586.7149999999</v>
      </c>
      <c r="BV77" s="144"/>
      <c r="BW77" s="158">
        <f t="shared" si="322"/>
        <v>5620200.9399999995</v>
      </c>
      <c r="BX77" s="159">
        <f t="shared" si="323"/>
        <v>5800873.9200000009</v>
      </c>
      <c r="BY77" s="159">
        <f t="shared" si="324"/>
        <v>7671442.8499999987</v>
      </c>
      <c r="BZ77" s="159">
        <f t="shared" si="325"/>
        <v>9461730.5800000001</v>
      </c>
      <c r="CA77" s="158">
        <f t="shared" si="326"/>
        <v>7138562.0724999998</v>
      </c>
      <c r="CB77" s="157">
        <f t="shared" si="327"/>
        <v>6736158.3849999998</v>
      </c>
      <c r="CC77" s="144"/>
      <c r="CD77" s="158">
        <f t="shared" si="328"/>
        <v>6384480.2634086255</v>
      </c>
      <c r="CE77" s="159">
        <f t="shared" si="329"/>
        <v>6333477.0983530572</v>
      </c>
      <c r="CF77" s="159">
        <f t="shared" si="330"/>
        <v>8110194.9137757635</v>
      </c>
      <c r="CG77" s="159">
        <f t="shared" si="331"/>
        <v>9461730.5800000001</v>
      </c>
      <c r="CH77" s="158">
        <f t="shared" si="332"/>
        <v>7572470.7138843611</v>
      </c>
      <c r="CI77" s="157">
        <f t="shared" si="333"/>
        <v>7247337.588592194</v>
      </c>
      <c r="CK77" s="61">
        <f t="shared" si="334"/>
        <v>-7.9886166064108144E-3</v>
      </c>
      <c r="CL77" s="62">
        <f t="shared" si="335"/>
        <v>0.28052802399565313</v>
      </c>
      <c r="CM77" s="63">
        <f t="shared" si="336"/>
        <v>0.16664650857263053</v>
      </c>
      <c r="CN77" s="61">
        <f t="shared" si="337"/>
        <v>0.48198916585708962</v>
      </c>
      <c r="CO77" s="29"/>
      <c r="CP77" s="61">
        <f t="shared" si="338"/>
        <v>2.6895568739570583E-3</v>
      </c>
      <c r="CQ77" s="62">
        <f t="shared" si="339"/>
        <v>2.7271016932644116E-3</v>
      </c>
      <c r="CR77" s="63">
        <f t="shared" si="340"/>
        <v>3.3679470654442599E-3</v>
      </c>
      <c r="CS77" s="61">
        <f t="shared" si="341"/>
        <v>3.9094289207950474E-3</v>
      </c>
      <c r="CU77" s="60">
        <f t="shared" si="207"/>
        <v>100</v>
      </c>
      <c r="CV77" s="132">
        <f t="shared" si="208"/>
        <v>99.20113833935892</v>
      </c>
      <c r="CW77" s="132">
        <f t="shared" si="209"/>
        <v>127.0298376558187</v>
      </c>
      <c r="CX77" s="131">
        <f t="shared" si="210"/>
        <v>148.19891658570896</v>
      </c>
    </row>
    <row r="78" spans="1:102">
      <c r="A78" s="29">
        <v>303</v>
      </c>
      <c r="B78" s="29" t="s">
        <v>5</v>
      </c>
      <c r="C78" s="55" t="s">
        <v>108</v>
      </c>
      <c r="D78" s="56">
        <v>0</v>
      </c>
      <c r="E78" s="57">
        <f>VLOOKUP(A78,AuxOPEXSaneparOriginal!$B$4:$F$177,3,0)</f>
        <v>3691177.7999999993</v>
      </c>
      <c r="F78" s="156">
        <f>VLOOKUP(A78,AuxOPEXSaneparOriginal!$B$4:$F$177,4,0)</f>
        <v>2620495.1600000015</v>
      </c>
      <c r="G78" s="57">
        <f>VLOOKUP(A78,AuxOPEXSaneparOriginal!$B$4:$K$177,8,0)</f>
        <v>199865.11</v>
      </c>
      <c r="H78" s="156">
        <f>VLOOKUP(A78,AuxOPEXSaneparOriginal!$B$4:$K$177,9,0)</f>
        <v>1985475.8000000003</v>
      </c>
      <c r="I78" s="57">
        <f>VLOOKUP(A78,AuxOPEXSaneparOriginal!$B$4:$N$177,13,0)</f>
        <v>3755324.7899999972</v>
      </c>
      <c r="J78" s="57">
        <f>VLOOKUP(A78,AuxOPEXSaneparOriginal!$B$4:$Q$177,16,0)</f>
        <v>12381383.110000003</v>
      </c>
      <c r="K78" s="57">
        <f>VLOOKUP(A78,AuxOPEXSaneparOriginal!$B$4:$V$177,21,0)</f>
        <v>0</v>
      </c>
      <c r="L78" s="157">
        <f t="shared" si="286"/>
        <v>24633721.770000003</v>
      </c>
      <c r="M78" s="19">
        <f>VLOOKUP(A78,AuxOPEXSaneparOriginal!$B$4:$AB$177,27,0)</f>
        <v>3829132.5300000012</v>
      </c>
      <c r="N78" s="156">
        <f>VLOOKUP(A78,AuxOPEXSaneparOriginal!$B$4:$AC$177,28,0)</f>
        <v>2583638.44</v>
      </c>
      <c r="O78" s="156">
        <f>VLOOKUP(A78,AuxOPEXSaneparOriginal!$B$4:$AD$177,29,0)</f>
        <v>263828.72000000003</v>
      </c>
      <c r="P78" s="156">
        <f>VLOOKUP(A78,AuxOPEXSaneparOriginal!$B$4:$AE$177,30,0)</f>
        <v>2058129.5200000007</v>
      </c>
      <c r="Q78" s="146">
        <f>VLOOKUP(A78,AuxOPEXSaneparOriginal!$B$4:$AF$177,31,0)</f>
        <v>4312401.6700000009</v>
      </c>
      <c r="R78" s="146">
        <f>VLOOKUP(A78,AuxOPEXSaneparOriginal!$B$4:$AG$177,32,0)</f>
        <v>13194519.960000001</v>
      </c>
      <c r="S78" s="146">
        <f>VLOOKUP(A78,AuxOPEXSaneparOriginal!$B$4:$AH$177,33,0)</f>
        <v>0</v>
      </c>
      <c r="T78" s="157">
        <f t="shared" si="287"/>
        <v>26241650.840000004</v>
      </c>
      <c r="U78" s="156">
        <f>VLOOKUP(A78,AuxOPEXSaneparOriginal!$B$4:$AI$177,34,0)</f>
        <v>3529551.2999999984</v>
      </c>
      <c r="V78" s="156">
        <f>VLOOKUP(A78,AuxOPEXSaneparOriginal!$B$4:$AJ$177,35,0)</f>
        <v>2447895.399999999</v>
      </c>
      <c r="W78" s="156">
        <f>VLOOKUP(A78,AuxOPEXSaneparOriginal!$B$4:$AK$177,36,0)</f>
        <v>307154.15000000002</v>
      </c>
      <c r="X78" s="19">
        <f>+VLOOKUP(A78,AuxOPEXSaneparOriginal!$B$4:$AL$177,37,0)</f>
        <v>2272404.9899999988</v>
      </c>
      <c r="Y78" s="146">
        <f>VLOOKUP(A78,AuxOPEXSaneparOriginal!$B$4:$AM$177,38,0)</f>
        <v>4519302.4700000016</v>
      </c>
      <c r="Z78" s="146">
        <f>VLOOKUP(A78,AuxOPEXSaneparOriginal!$B$4:$AN$177,39,0)</f>
        <v>13076022.379999999</v>
      </c>
      <c r="AA78" s="146">
        <f>VLOOKUP(A78,AuxOPEXSaneparOriginal!$B$4:$AO$177,40,0)</f>
        <v>0</v>
      </c>
      <c r="AB78" s="157">
        <f t="shared" si="288"/>
        <v>26152330.689999998</v>
      </c>
      <c r="AC78" s="156">
        <f>VLOOKUP(A78,AuxOPEXSaneparOriginal!$B$4:$AP$177,41,0)</f>
        <v>4177593.4900000016</v>
      </c>
      <c r="AD78" s="156">
        <f>+VLOOKUP(A78,AuxOPEXSaneparOriginal!$B$4:$AQ$177,42,0)</f>
        <v>2975774.5100000002</v>
      </c>
      <c r="AE78" s="156">
        <f>VLOOKUP(A78,AuxOPEXSaneparOriginal!$B$4:$AR$177,43,0)</f>
        <v>351392.98</v>
      </c>
      <c r="AF78" s="156">
        <f>+VLOOKUP(A78,AuxOPEXSaneparOriginal!$B$4:$AS$177,44,0)</f>
        <v>2443575.7600000002</v>
      </c>
      <c r="AG78" s="146">
        <f>VLOOKUP(A78,AuxOPEXSaneparOriginal!$B$4:$AT$177,45,0)</f>
        <v>5002075.71</v>
      </c>
      <c r="AH78" s="146">
        <f>VLOOKUP(A78,AuxOPEXSaneparOriginal!$B$4:$AU$177,46,0)</f>
        <v>12184511.689999998</v>
      </c>
      <c r="AI78" s="146">
        <f>VLOOKUP(A78,AuxOPEXSaneparOriginal!$B$4:$AV$177,47,0)</f>
        <v>0</v>
      </c>
      <c r="AJ78" s="157">
        <f t="shared" si="289"/>
        <v>27134924.140000001</v>
      </c>
      <c r="AK78" s="157">
        <f t="shared" si="205"/>
        <v>26040656.859999999</v>
      </c>
      <c r="AL78" s="157">
        <f t="shared" si="206"/>
        <v>26643627.414999999</v>
      </c>
      <c r="AM78" s="144"/>
      <c r="AN78" s="167">
        <f t="shared" si="290"/>
        <v>3691177.7999999993</v>
      </c>
      <c r="AO78" s="168">
        <f t="shared" si="291"/>
        <v>2620495.1600000015</v>
      </c>
      <c r="AP78" s="57">
        <f t="shared" si="292"/>
        <v>199865.11</v>
      </c>
      <c r="AQ78" s="57">
        <f t="shared" si="293"/>
        <v>1985475.8000000003</v>
      </c>
      <c r="AR78" s="57">
        <f t="shared" si="294"/>
        <v>3755324.7899999972</v>
      </c>
      <c r="AS78" s="57">
        <f t="shared" si="295"/>
        <v>12381383.110000003</v>
      </c>
      <c r="AT78" s="57">
        <f t="shared" si="296"/>
        <v>0</v>
      </c>
      <c r="AU78" s="157">
        <f t="shared" si="297"/>
        <v>24633721.770000003</v>
      </c>
      <c r="AV78" s="57">
        <f t="shared" si="298"/>
        <v>3829132.5300000012</v>
      </c>
      <c r="AW78" s="57">
        <f t="shared" si="299"/>
        <v>2583638.44</v>
      </c>
      <c r="AX78" s="57">
        <f t="shared" si="300"/>
        <v>263828.72000000003</v>
      </c>
      <c r="AY78" s="57">
        <f t="shared" si="301"/>
        <v>2058129.5200000007</v>
      </c>
      <c r="AZ78" s="57">
        <f t="shared" si="302"/>
        <v>4312401.6700000009</v>
      </c>
      <c r="BA78" s="57">
        <f t="shared" si="303"/>
        <v>13194519.960000001</v>
      </c>
      <c r="BB78" s="57">
        <f t="shared" si="304"/>
        <v>0</v>
      </c>
      <c r="BC78" s="157">
        <f t="shared" si="305"/>
        <v>26241650.840000004</v>
      </c>
      <c r="BD78" s="57">
        <f t="shared" si="306"/>
        <v>3529551.2999999984</v>
      </c>
      <c r="BE78" s="57">
        <f t="shared" si="307"/>
        <v>2447895.399999999</v>
      </c>
      <c r="BF78" s="57">
        <f t="shared" si="308"/>
        <v>307154.15000000002</v>
      </c>
      <c r="BG78" s="57">
        <f t="shared" si="309"/>
        <v>2272404.9899999988</v>
      </c>
      <c r="BH78" s="57">
        <f t="shared" si="310"/>
        <v>4519302.4700000016</v>
      </c>
      <c r="BI78" s="57">
        <f t="shared" si="311"/>
        <v>13076022.379999999</v>
      </c>
      <c r="BJ78" s="57">
        <f t="shared" si="312"/>
        <v>0</v>
      </c>
      <c r="BK78" s="157">
        <f t="shared" si="313"/>
        <v>26152330.689999998</v>
      </c>
      <c r="BL78" s="57">
        <f t="shared" si="314"/>
        <v>4177593.4900000016</v>
      </c>
      <c r="BM78" s="57">
        <f t="shared" si="315"/>
        <v>2975774.5100000002</v>
      </c>
      <c r="BN78" s="57">
        <f t="shared" si="316"/>
        <v>351392.98</v>
      </c>
      <c r="BO78" s="57">
        <f t="shared" si="317"/>
        <v>2443575.7600000002</v>
      </c>
      <c r="BP78" s="57">
        <f t="shared" si="318"/>
        <v>5002075.71</v>
      </c>
      <c r="BQ78" s="57">
        <f t="shared" si="319"/>
        <v>12184511.689999998</v>
      </c>
      <c r="BR78" s="57">
        <f t="shared" si="320"/>
        <v>0</v>
      </c>
      <c r="BS78" s="157">
        <f t="shared" si="321"/>
        <v>27134924.140000001</v>
      </c>
      <c r="BT78" s="157">
        <f t="shared" si="73"/>
        <v>26040656.859999999</v>
      </c>
      <c r="BU78" s="157">
        <f t="shared" si="74"/>
        <v>26643627.414999999</v>
      </c>
      <c r="BV78" s="144"/>
      <c r="BW78" s="158">
        <f t="shared" si="322"/>
        <v>24633721.770000003</v>
      </c>
      <c r="BX78" s="159">
        <f t="shared" si="323"/>
        <v>26241650.840000004</v>
      </c>
      <c r="BY78" s="159">
        <f t="shared" si="324"/>
        <v>26152330.689999998</v>
      </c>
      <c r="BZ78" s="159">
        <f t="shared" si="325"/>
        <v>27134924.140000001</v>
      </c>
      <c r="CA78" s="158">
        <f t="shared" si="326"/>
        <v>26040656.860000003</v>
      </c>
      <c r="CB78" s="157">
        <f t="shared" si="327"/>
        <v>26196990.765000001</v>
      </c>
      <c r="CC78" s="144"/>
      <c r="CD78" s="158">
        <f t="shared" si="328"/>
        <v>27983609.862686586</v>
      </c>
      <c r="CE78" s="159">
        <f t="shared" si="329"/>
        <v>28651009.642719015</v>
      </c>
      <c r="CF78" s="159">
        <f t="shared" si="330"/>
        <v>27648058.323920097</v>
      </c>
      <c r="CG78" s="159">
        <f t="shared" si="331"/>
        <v>27134924.140000001</v>
      </c>
      <c r="CH78" s="158">
        <f t="shared" si="332"/>
        <v>27854400.492331427</v>
      </c>
      <c r="CI78" s="157">
        <f t="shared" si="333"/>
        <v>27815834.093303341</v>
      </c>
      <c r="CK78" s="61">
        <f t="shared" si="334"/>
        <v>2.384966711969283E-2</v>
      </c>
      <c r="CL78" s="62">
        <f t="shared" si="335"/>
        <v>-3.500579320958741E-2</v>
      </c>
      <c r="CM78" s="63">
        <f t="shared" si="336"/>
        <v>-1.8559501644140886E-2</v>
      </c>
      <c r="CN78" s="61">
        <f t="shared" si="337"/>
        <v>-3.0327957216778723E-2</v>
      </c>
      <c r="CO78" s="29"/>
      <c r="CP78" s="61">
        <f t="shared" si="338"/>
        <v>1.1788510130680337E-2</v>
      </c>
      <c r="CQ78" s="62">
        <f t="shared" si="339"/>
        <v>1.2336701577512904E-2</v>
      </c>
      <c r="CR78" s="63">
        <f t="shared" si="340"/>
        <v>1.1481499259544553E-2</v>
      </c>
      <c r="CS78" s="61">
        <f t="shared" si="341"/>
        <v>1.1211697088556887E-2</v>
      </c>
      <c r="CU78" s="60">
        <f t="shared" si="207"/>
        <v>100</v>
      </c>
      <c r="CV78" s="132">
        <f t="shared" si="208"/>
        <v>102.38496671196928</v>
      </c>
      <c r="CW78" s="132">
        <f t="shared" si="209"/>
        <v>98.800899739479604</v>
      </c>
      <c r="CX78" s="131">
        <f t="shared" si="210"/>
        <v>96.967204278322129</v>
      </c>
    </row>
    <row r="79" spans="1:102">
      <c r="A79" s="29">
        <v>304</v>
      </c>
      <c r="B79" s="29" t="s">
        <v>5</v>
      </c>
      <c r="C79" s="55" t="s">
        <v>109</v>
      </c>
      <c r="D79" s="56">
        <v>0</v>
      </c>
      <c r="E79" s="57">
        <f>VLOOKUP(A79,AuxOPEXSaneparOriginal!$B$4:$F$177,3,0)</f>
        <v>251429.93000000002</v>
      </c>
      <c r="F79" s="156">
        <f>VLOOKUP(A79,AuxOPEXSaneparOriginal!$B$4:$F$177,4,0)</f>
        <v>129648.17</v>
      </c>
      <c r="G79" s="57">
        <f>VLOOKUP(A79,AuxOPEXSaneparOriginal!$B$4:$K$177,8,0)</f>
        <v>283101.26999999996</v>
      </c>
      <c r="H79" s="156">
        <f>VLOOKUP(A79,AuxOPEXSaneparOriginal!$B$4:$K$177,9,0)</f>
        <v>112687.56</v>
      </c>
      <c r="I79" s="57">
        <f>VLOOKUP(A79,AuxOPEXSaneparOriginal!$B$4:$N$177,13,0)</f>
        <v>6230</v>
      </c>
      <c r="J79" s="57">
        <f>VLOOKUP(A79,AuxOPEXSaneparOriginal!$B$4:$Q$177,16,0)</f>
        <v>7450137.0900000008</v>
      </c>
      <c r="K79" s="57">
        <f>VLOOKUP(A79,AuxOPEXSaneparOriginal!$B$4:$V$177,21,0)</f>
        <v>0</v>
      </c>
      <c r="L79" s="157">
        <f t="shared" si="286"/>
        <v>8233234.0200000005</v>
      </c>
      <c r="M79" s="19">
        <f>VLOOKUP(A79,AuxOPEXSaneparOriginal!$B$4:$AB$177,27,0)</f>
        <v>325416.41000000003</v>
      </c>
      <c r="N79" s="156">
        <f>VLOOKUP(A79,AuxOPEXSaneparOriginal!$B$4:$AC$177,28,0)</f>
        <v>703782.17000000016</v>
      </c>
      <c r="O79" s="156">
        <f>VLOOKUP(A79,AuxOPEXSaneparOriginal!$B$4:$AD$177,29,0)</f>
        <v>143458.28999999998</v>
      </c>
      <c r="P79" s="156">
        <f>VLOOKUP(A79,AuxOPEXSaneparOriginal!$B$4:$AE$177,30,0)</f>
        <v>197460.59000000003</v>
      </c>
      <c r="Q79" s="146">
        <f>VLOOKUP(A79,AuxOPEXSaneparOriginal!$B$4:$AF$177,31,0)</f>
        <v>8050</v>
      </c>
      <c r="R79" s="146">
        <f>VLOOKUP(A79,AuxOPEXSaneparOriginal!$B$4:$AG$177,32,0)</f>
        <v>4718645.92</v>
      </c>
      <c r="S79" s="146">
        <f>VLOOKUP(A79,AuxOPEXSaneparOriginal!$B$4:$AH$177,33,0)</f>
        <v>0</v>
      </c>
      <c r="T79" s="157">
        <f t="shared" si="287"/>
        <v>6096813.3799999999</v>
      </c>
      <c r="U79" s="156">
        <f>VLOOKUP(A79,AuxOPEXSaneparOriginal!$B$4:$AI$177,34,0)</f>
        <v>625774.35000000009</v>
      </c>
      <c r="V79" s="156">
        <f>VLOOKUP(A79,AuxOPEXSaneparOriginal!$B$4:$AJ$177,35,0)</f>
        <v>26532.26</v>
      </c>
      <c r="W79" s="156">
        <f>VLOOKUP(A79,AuxOPEXSaneparOriginal!$B$4:$AK$177,36,0)</f>
        <v>152930.6</v>
      </c>
      <c r="X79" s="19">
        <f>+VLOOKUP(A79,AuxOPEXSaneparOriginal!$B$4:$AL$177,37,0)</f>
        <v>294159.39999999997</v>
      </c>
      <c r="Y79" s="146">
        <f>VLOOKUP(A79,AuxOPEXSaneparOriginal!$B$4:$AM$177,38,0)</f>
        <v>120967.07</v>
      </c>
      <c r="Z79" s="146">
        <f>VLOOKUP(A79,AuxOPEXSaneparOriginal!$B$4:$AN$177,39,0)</f>
        <v>4354392.5600000005</v>
      </c>
      <c r="AA79" s="146">
        <f>VLOOKUP(A79,AuxOPEXSaneparOriginal!$B$4:$AO$177,40,0)</f>
        <v>0</v>
      </c>
      <c r="AB79" s="157">
        <f t="shared" si="288"/>
        <v>5574756.2400000002</v>
      </c>
      <c r="AC79" s="156">
        <f>VLOOKUP(A79,AuxOPEXSaneparOriginal!$B$4:$AP$177,41,0)</f>
        <v>2573496.2199999993</v>
      </c>
      <c r="AD79" s="156">
        <f>+VLOOKUP(A79,AuxOPEXSaneparOriginal!$B$4:$AQ$177,42,0)</f>
        <v>170751.56000000006</v>
      </c>
      <c r="AE79" s="156">
        <f>VLOOKUP(A79,AuxOPEXSaneparOriginal!$B$4:$AR$177,43,0)</f>
        <v>3310.78</v>
      </c>
      <c r="AF79" s="156">
        <f>+VLOOKUP(A79,AuxOPEXSaneparOriginal!$B$4:$AS$177,44,0)</f>
        <v>323814.83999999991</v>
      </c>
      <c r="AG79" s="146">
        <f>VLOOKUP(A79,AuxOPEXSaneparOriginal!$B$4:$AT$177,45,0)</f>
        <v>9086.09</v>
      </c>
      <c r="AH79" s="146">
        <f>VLOOKUP(A79,AuxOPEXSaneparOriginal!$B$4:$AU$177,46,0)</f>
        <v>14982845.91</v>
      </c>
      <c r="AI79" s="146">
        <f>VLOOKUP(A79,AuxOPEXSaneparOriginal!$B$4:$AV$177,47,0)</f>
        <v>0</v>
      </c>
      <c r="AJ79" s="157">
        <f t="shared" si="289"/>
        <v>18063305.399999999</v>
      </c>
      <c r="AK79" s="157">
        <f t="shared" si="205"/>
        <v>9492027.2599999998</v>
      </c>
      <c r="AL79" s="157">
        <f t="shared" si="206"/>
        <v>11819030.82</v>
      </c>
      <c r="AM79" s="144"/>
      <c r="AN79" s="167">
        <f t="shared" si="290"/>
        <v>251429.93000000002</v>
      </c>
      <c r="AO79" s="168">
        <f t="shared" si="291"/>
        <v>129648.17</v>
      </c>
      <c r="AP79" s="57">
        <f t="shared" si="292"/>
        <v>283101.26999999996</v>
      </c>
      <c r="AQ79" s="57">
        <f t="shared" si="293"/>
        <v>112687.56</v>
      </c>
      <c r="AR79" s="57">
        <f t="shared" si="294"/>
        <v>6230</v>
      </c>
      <c r="AS79" s="57">
        <f t="shared" si="295"/>
        <v>7450137.0900000008</v>
      </c>
      <c r="AT79" s="57">
        <f t="shared" si="296"/>
        <v>0</v>
      </c>
      <c r="AU79" s="157">
        <f t="shared" si="297"/>
        <v>8233234.0200000005</v>
      </c>
      <c r="AV79" s="57">
        <f t="shared" si="298"/>
        <v>325416.41000000003</v>
      </c>
      <c r="AW79" s="57">
        <f t="shared" si="299"/>
        <v>703782.17000000016</v>
      </c>
      <c r="AX79" s="57">
        <f t="shared" si="300"/>
        <v>143458.28999999998</v>
      </c>
      <c r="AY79" s="57">
        <f t="shared" si="301"/>
        <v>197460.59000000003</v>
      </c>
      <c r="AZ79" s="57">
        <f t="shared" si="302"/>
        <v>8050</v>
      </c>
      <c r="BA79" s="57">
        <f t="shared" si="303"/>
        <v>4718645.92</v>
      </c>
      <c r="BB79" s="57">
        <f t="shared" si="304"/>
        <v>0</v>
      </c>
      <c r="BC79" s="157">
        <f t="shared" si="305"/>
        <v>6096813.3799999999</v>
      </c>
      <c r="BD79" s="57">
        <f t="shared" si="306"/>
        <v>625774.35000000009</v>
      </c>
      <c r="BE79" s="57">
        <f t="shared" si="307"/>
        <v>26532.26</v>
      </c>
      <c r="BF79" s="57">
        <f t="shared" si="308"/>
        <v>152930.6</v>
      </c>
      <c r="BG79" s="57">
        <f t="shared" si="309"/>
        <v>294159.39999999997</v>
      </c>
      <c r="BH79" s="57">
        <f t="shared" si="310"/>
        <v>120967.07</v>
      </c>
      <c r="BI79" s="57">
        <f t="shared" si="311"/>
        <v>4354392.5600000005</v>
      </c>
      <c r="BJ79" s="57">
        <f t="shared" si="312"/>
        <v>0</v>
      </c>
      <c r="BK79" s="157">
        <f t="shared" si="313"/>
        <v>5574756.2400000002</v>
      </c>
      <c r="BL79" s="57">
        <f t="shared" si="314"/>
        <v>2573496.2199999993</v>
      </c>
      <c r="BM79" s="57">
        <f t="shared" si="315"/>
        <v>170751.56000000006</v>
      </c>
      <c r="BN79" s="57">
        <f t="shared" si="316"/>
        <v>3310.78</v>
      </c>
      <c r="BO79" s="57">
        <f t="shared" si="317"/>
        <v>323814.83999999991</v>
      </c>
      <c r="BP79" s="57">
        <f t="shared" si="318"/>
        <v>9086.09</v>
      </c>
      <c r="BQ79" s="57">
        <f t="shared" si="319"/>
        <v>14982845.91</v>
      </c>
      <c r="BR79" s="57">
        <f t="shared" si="320"/>
        <v>0</v>
      </c>
      <c r="BS79" s="157">
        <f t="shared" si="321"/>
        <v>18063305.399999999</v>
      </c>
      <c r="BT79" s="157">
        <f t="shared" si="73"/>
        <v>9492027.2599999998</v>
      </c>
      <c r="BU79" s="157">
        <f t="shared" si="74"/>
        <v>11819030.82</v>
      </c>
      <c r="BV79" s="144"/>
      <c r="BW79" s="158">
        <f t="shared" si="322"/>
        <v>8233234.0200000005</v>
      </c>
      <c r="BX79" s="159">
        <f t="shared" si="323"/>
        <v>6096813.3799999999</v>
      </c>
      <c r="BY79" s="159">
        <f t="shared" si="324"/>
        <v>5574756.2400000002</v>
      </c>
      <c r="BZ79" s="159">
        <f t="shared" si="325"/>
        <v>18063305.399999999</v>
      </c>
      <c r="CA79" s="158">
        <f t="shared" si="326"/>
        <v>9492027.2599999998</v>
      </c>
      <c r="CB79" s="157">
        <f t="shared" si="327"/>
        <v>7165023.7000000002</v>
      </c>
      <c r="CC79" s="144"/>
      <c r="CD79" s="158">
        <f t="shared" si="328"/>
        <v>9352854.2245883588</v>
      </c>
      <c r="CE79" s="159">
        <f t="shared" si="329"/>
        <v>6656588.0327153336</v>
      </c>
      <c r="CF79" s="159">
        <f t="shared" si="330"/>
        <v>5893592.7161586965</v>
      </c>
      <c r="CG79" s="159">
        <f t="shared" si="331"/>
        <v>18063305.399999999</v>
      </c>
      <c r="CH79" s="158">
        <f t="shared" si="332"/>
        <v>9991585.0933655966</v>
      </c>
      <c r="CI79" s="157">
        <f t="shared" si="333"/>
        <v>8004721.1286518462</v>
      </c>
      <c r="CK79" s="61">
        <f t="shared" si="334"/>
        <v>-0.28828271318338594</v>
      </c>
      <c r="CL79" s="62">
        <f t="shared" si="335"/>
        <v>-0.11462258334250541</v>
      </c>
      <c r="CM79" s="63">
        <f t="shared" si="336"/>
        <v>2.0649056135954424</v>
      </c>
      <c r="CN79" s="61">
        <f t="shared" si="337"/>
        <v>0.93131475870885905</v>
      </c>
      <c r="CO79" s="29"/>
      <c r="CP79" s="61">
        <f t="shared" si="338"/>
        <v>3.9400283708340344E-3</v>
      </c>
      <c r="CQ79" s="62">
        <f t="shared" si="339"/>
        <v>2.8662284892609965E-3</v>
      </c>
      <c r="CR79" s="63">
        <f t="shared" si="340"/>
        <v>2.4474514489898182E-3</v>
      </c>
      <c r="CS79" s="61">
        <f t="shared" si="341"/>
        <v>7.4634558592465584E-3</v>
      </c>
      <c r="CU79" s="60">
        <f t="shared" si="207"/>
        <v>100</v>
      </c>
      <c r="CV79" s="132">
        <f t="shared" si="208"/>
        <v>71.171728681661406</v>
      </c>
      <c r="CW79" s="132">
        <f t="shared" si="209"/>
        <v>63.013841279217495</v>
      </c>
      <c r="CX79" s="131">
        <f t="shared" si="210"/>
        <v>193.13147587088591</v>
      </c>
    </row>
    <row r="80" spans="1:102">
      <c r="A80" s="29">
        <v>305</v>
      </c>
      <c r="B80" s="29" t="s">
        <v>5</v>
      </c>
      <c r="C80" s="55" t="s">
        <v>110</v>
      </c>
      <c r="D80" s="56">
        <v>0</v>
      </c>
      <c r="E80" s="57">
        <f>VLOOKUP(A80,AuxOPEXSaneparOriginal!$B$4:$F$177,3,0)</f>
        <v>0</v>
      </c>
      <c r="F80" s="156">
        <f>VLOOKUP(A80,AuxOPEXSaneparOriginal!$B$4:$F$177,4,0)</f>
        <v>0</v>
      </c>
      <c r="G80" s="57">
        <f>VLOOKUP(A80,AuxOPEXSaneparOriginal!$B$4:$K$177,8,0)</f>
        <v>0</v>
      </c>
      <c r="H80" s="156">
        <f>VLOOKUP(A80,AuxOPEXSaneparOriginal!$B$4:$K$177,9,0)</f>
        <v>0</v>
      </c>
      <c r="I80" s="57">
        <f>VLOOKUP(A80,AuxOPEXSaneparOriginal!$B$4:$N$177,13,0)</f>
        <v>0</v>
      </c>
      <c r="J80" s="57">
        <f>VLOOKUP(A80,AuxOPEXSaneparOriginal!$B$4:$Q$177,16,0)</f>
        <v>7535875.3199999994</v>
      </c>
      <c r="K80" s="57">
        <f>VLOOKUP(A80,AuxOPEXSaneparOriginal!$B$4:$V$177,21,0)</f>
        <v>0</v>
      </c>
      <c r="L80" s="157">
        <f t="shared" si="286"/>
        <v>7535875.3199999994</v>
      </c>
      <c r="M80" s="19">
        <f>VLOOKUP(A80,AuxOPEXSaneparOriginal!$B$4:$AB$177,27,0)</f>
        <v>0</v>
      </c>
      <c r="N80" s="156">
        <f>VLOOKUP(A80,AuxOPEXSaneparOriginal!$B$4:$AC$177,28,0)</f>
        <v>0</v>
      </c>
      <c r="O80" s="156">
        <f>VLOOKUP(A80,AuxOPEXSaneparOriginal!$B$4:$AD$177,29,0)</f>
        <v>0</v>
      </c>
      <c r="P80" s="156">
        <f>VLOOKUP(A80,AuxOPEXSaneparOriginal!$B$4:$AE$177,30,0)</f>
        <v>0</v>
      </c>
      <c r="Q80" s="146">
        <f>VLOOKUP(A80,AuxOPEXSaneparOriginal!$B$4:$AF$177,31,0)</f>
        <v>3261.4300000000003</v>
      </c>
      <c r="R80" s="146">
        <f>VLOOKUP(A80,AuxOPEXSaneparOriginal!$B$4:$AG$177,32,0)</f>
        <v>8283187.0200000005</v>
      </c>
      <c r="S80" s="146">
        <f>VLOOKUP(A80,AuxOPEXSaneparOriginal!$B$4:$AH$177,33,0)</f>
        <v>0</v>
      </c>
      <c r="T80" s="157">
        <f t="shared" si="287"/>
        <v>8286448.4500000002</v>
      </c>
      <c r="U80" s="156">
        <f>VLOOKUP(A80,AuxOPEXSaneparOriginal!$B$4:$AI$177,34,0)</f>
        <v>0</v>
      </c>
      <c r="V80" s="156">
        <f>VLOOKUP(A80,AuxOPEXSaneparOriginal!$B$4:$AJ$177,35,0)</f>
        <v>0</v>
      </c>
      <c r="W80" s="156">
        <f>VLOOKUP(A80,AuxOPEXSaneparOriginal!$B$4:$AK$177,36,0)</f>
        <v>0</v>
      </c>
      <c r="X80" s="19">
        <f>+VLOOKUP(A80,AuxOPEXSaneparOriginal!$B$4:$AL$177,37,0)</f>
        <v>0</v>
      </c>
      <c r="Y80" s="146">
        <f>VLOOKUP(A80,AuxOPEXSaneparOriginal!$B$4:$AM$177,38,0)</f>
        <v>35</v>
      </c>
      <c r="Z80" s="146">
        <f>VLOOKUP(A80,AuxOPEXSaneparOriginal!$B$4:$AN$177,39,0)</f>
        <v>9683916.4399999995</v>
      </c>
      <c r="AA80" s="146">
        <f>VLOOKUP(A80,AuxOPEXSaneparOriginal!$B$4:$AO$177,40,0)</f>
        <v>0</v>
      </c>
      <c r="AB80" s="157">
        <f t="shared" si="288"/>
        <v>9683951.4399999995</v>
      </c>
      <c r="AC80" s="156">
        <f>VLOOKUP(A80,AuxOPEXSaneparOriginal!$B$4:$AP$177,41,0)</f>
        <v>0</v>
      </c>
      <c r="AD80" s="156">
        <f>+VLOOKUP(A80,AuxOPEXSaneparOriginal!$B$4:$AQ$177,42,0)</f>
        <v>0</v>
      </c>
      <c r="AE80" s="156">
        <f>VLOOKUP(A80,AuxOPEXSaneparOriginal!$B$4:$AR$177,43,0)</f>
        <v>0</v>
      </c>
      <c r="AF80" s="156">
        <f>+VLOOKUP(A80,AuxOPEXSaneparOriginal!$B$4:$AS$177,44,0)</f>
        <v>0</v>
      </c>
      <c r="AG80" s="146">
        <f>VLOOKUP(A80,AuxOPEXSaneparOriginal!$B$4:$AT$177,45,0)</f>
        <v>27.95</v>
      </c>
      <c r="AH80" s="146">
        <f>VLOOKUP(A80,AuxOPEXSaneparOriginal!$B$4:$AU$177,46,0)</f>
        <v>10859919.899999999</v>
      </c>
      <c r="AI80" s="146">
        <f>VLOOKUP(A80,AuxOPEXSaneparOriginal!$B$4:$AV$177,47,0)</f>
        <v>0</v>
      </c>
      <c r="AJ80" s="157">
        <f t="shared" si="289"/>
        <v>10859947.849999998</v>
      </c>
      <c r="AK80" s="157">
        <f t="shared" si="205"/>
        <v>9091555.7649999987</v>
      </c>
      <c r="AL80" s="157">
        <f t="shared" si="206"/>
        <v>10271949.645</v>
      </c>
      <c r="AM80" s="144"/>
      <c r="AN80" s="167">
        <f t="shared" si="290"/>
        <v>0</v>
      </c>
      <c r="AO80" s="168">
        <f t="shared" si="291"/>
        <v>0</v>
      </c>
      <c r="AP80" s="57">
        <f t="shared" si="292"/>
        <v>0</v>
      </c>
      <c r="AQ80" s="57">
        <f t="shared" si="293"/>
        <v>0</v>
      </c>
      <c r="AR80" s="57">
        <f t="shared" si="294"/>
        <v>0</v>
      </c>
      <c r="AS80" s="57">
        <f t="shared" si="295"/>
        <v>7535875.3199999994</v>
      </c>
      <c r="AT80" s="57">
        <f t="shared" si="296"/>
        <v>0</v>
      </c>
      <c r="AU80" s="157">
        <f t="shared" si="297"/>
        <v>7535875.3199999994</v>
      </c>
      <c r="AV80" s="57">
        <f t="shared" si="298"/>
        <v>0</v>
      </c>
      <c r="AW80" s="57">
        <f t="shared" si="299"/>
        <v>0</v>
      </c>
      <c r="AX80" s="57">
        <f t="shared" si="300"/>
        <v>0</v>
      </c>
      <c r="AY80" s="57">
        <f t="shared" si="301"/>
        <v>0</v>
      </c>
      <c r="AZ80" s="57">
        <f t="shared" si="302"/>
        <v>3261.4300000000003</v>
      </c>
      <c r="BA80" s="57">
        <f t="shared" si="303"/>
        <v>8283187.0200000005</v>
      </c>
      <c r="BB80" s="57">
        <f t="shared" si="304"/>
        <v>0</v>
      </c>
      <c r="BC80" s="157">
        <f t="shared" si="305"/>
        <v>8286448.4500000002</v>
      </c>
      <c r="BD80" s="57">
        <f t="shared" si="306"/>
        <v>0</v>
      </c>
      <c r="BE80" s="57">
        <f t="shared" si="307"/>
        <v>0</v>
      </c>
      <c r="BF80" s="57">
        <f t="shared" si="308"/>
        <v>0</v>
      </c>
      <c r="BG80" s="57">
        <f t="shared" si="309"/>
        <v>0</v>
      </c>
      <c r="BH80" s="57">
        <f t="shared" si="310"/>
        <v>35</v>
      </c>
      <c r="BI80" s="57">
        <f t="shared" si="311"/>
        <v>9683916.4399999995</v>
      </c>
      <c r="BJ80" s="57">
        <f t="shared" si="312"/>
        <v>0</v>
      </c>
      <c r="BK80" s="157">
        <f t="shared" si="313"/>
        <v>9683951.4399999995</v>
      </c>
      <c r="BL80" s="57">
        <f t="shared" si="314"/>
        <v>0</v>
      </c>
      <c r="BM80" s="57">
        <f t="shared" si="315"/>
        <v>0</v>
      </c>
      <c r="BN80" s="57">
        <f t="shared" si="316"/>
        <v>0</v>
      </c>
      <c r="BO80" s="57">
        <f t="shared" si="317"/>
        <v>0</v>
      </c>
      <c r="BP80" s="57">
        <f t="shared" si="318"/>
        <v>27.95</v>
      </c>
      <c r="BQ80" s="57">
        <f t="shared" si="319"/>
        <v>10859919.899999999</v>
      </c>
      <c r="BR80" s="57">
        <f t="shared" si="320"/>
        <v>0</v>
      </c>
      <c r="BS80" s="157">
        <f t="shared" si="321"/>
        <v>10859947.849999998</v>
      </c>
      <c r="BT80" s="157">
        <f t="shared" si="73"/>
        <v>9091555.7649999987</v>
      </c>
      <c r="BU80" s="157">
        <f t="shared" si="74"/>
        <v>10271949.645</v>
      </c>
      <c r="BV80" s="144"/>
      <c r="BW80" s="158">
        <f t="shared" si="322"/>
        <v>7535875.3199999994</v>
      </c>
      <c r="BX80" s="159">
        <f t="shared" si="323"/>
        <v>8286448.4500000002</v>
      </c>
      <c r="BY80" s="159">
        <f t="shared" si="324"/>
        <v>9683951.4399999995</v>
      </c>
      <c r="BZ80" s="159">
        <f t="shared" si="325"/>
        <v>10859947.849999998</v>
      </c>
      <c r="CA80" s="158">
        <f t="shared" si="326"/>
        <v>9091555.7650000006</v>
      </c>
      <c r="CB80" s="157">
        <f t="shared" si="327"/>
        <v>8985199.9450000003</v>
      </c>
      <c r="CC80" s="144"/>
      <c r="CD80" s="158">
        <f t="shared" si="328"/>
        <v>8560663.1794286277</v>
      </c>
      <c r="CE80" s="159">
        <f t="shared" si="329"/>
        <v>9047262.9139228351</v>
      </c>
      <c r="CF80" s="159">
        <f t="shared" si="330"/>
        <v>10237804.706312776</v>
      </c>
      <c r="CG80" s="159">
        <f t="shared" si="331"/>
        <v>10859947.849999998</v>
      </c>
      <c r="CH80" s="158">
        <f t="shared" si="332"/>
        <v>9676419.6624160595</v>
      </c>
      <c r="CI80" s="157">
        <f t="shared" si="333"/>
        <v>9642533.8101178054</v>
      </c>
      <c r="CK80" s="61">
        <f t="shared" si="334"/>
        <v>5.684135963479009E-2</v>
      </c>
      <c r="CL80" s="62">
        <f t="shared" si="335"/>
        <v>0.13159137782520003</v>
      </c>
      <c r="CM80" s="63">
        <f t="shared" si="336"/>
        <v>6.0769194327725318E-2</v>
      </c>
      <c r="CN80" s="61">
        <f t="shared" si="337"/>
        <v>0.26858721367482108</v>
      </c>
      <c r="CO80" s="29"/>
      <c r="CP80" s="61">
        <f t="shared" si="338"/>
        <v>3.606306159613814E-3</v>
      </c>
      <c r="CQ80" s="62">
        <f t="shared" si="339"/>
        <v>3.8956177829052442E-3</v>
      </c>
      <c r="CR80" s="63">
        <f t="shared" si="340"/>
        <v>4.251486515897426E-3</v>
      </c>
      <c r="CS80" s="61">
        <f t="shared" si="341"/>
        <v>4.4871489252567556E-3</v>
      </c>
      <c r="CU80" s="60">
        <f t="shared" si="207"/>
        <v>100</v>
      </c>
      <c r="CV80" s="132">
        <f t="shared" si="208"/>
        <v>105.68413596347901</v>
      </c>
      <c r="CW80" s="132">
        <f t="shared" si="209"/>
        <v>119.59125702917899</v>
      </c>
      <c r="CX80" s="131">
        <f t="shared" si="210"/>
        <v>126.8587213674821</v>
      </c>
    </row>
    <row r="81" spans="1:102">
      <c r="A81" s="29">
        <v>306</v>
      </c>
      <c r="B81" s="29" t="s">
        <v>5</v>
      </c>
      <c r="C81" s="55" t="s">
        <v>111</v>
      </c>
      <c r="D81" s="56">
        <v>0</v>
      </c>
      <c r="E81" s="57">
        <f>VLOOKUP(A81,AuxOPEXSaneparOriginal!$B$4:$F$177,3,0)</f>
        <v>0</v>
      </c>
      <c r="F81" s="156">
        <f>VLOOKUP(A81,AuxOPEXSaneparOriginal!$B$4:$F$177,4,0)</f>
        <v>0</v>
      </c>
      <c r="G81" s="57">
        <f>VLOOKUP(A81,AuxOPEXSaneparOriginal!$B$4:$K$177,8,0)</f>
        <v>0</v>
      </c>
      <c r="H81" s="156">
        <f>VLOOKUP(A81,AuxOPEXSaneparOriginal!$B$4:$K$177,9,0)</f>
        <v>0</v>
      </c>
      <c r="I81" s="57">
        <f>VLOOKUP(A81,AuxOPEXSaneparOriginal!$B$4:$N$177,13,0)</f>
        <v>7554485.6500000013</v>
      </c>
      <c r="J81" s="57">
        <f>VLOOKUP(A81,AuxOPEXSaneparOriginal!$B$4:$Q$177,16,0)</f>
        <v>4688.2</v>
      </c>
      <c r="K81" s="57">
        <f>VLOOKUP(A81,AuxOPEXSaneparOriginal!$B$4:$V$177,21,0)</f>
        <v>0</v>
      </c>
      <c r="L81" s="157">
        <f t="shared" si="286"/>
        <v>7559173.8500000015</v>
      </c>
      <c r="M81" s="19">
        <f>VLOOKUP(A81,AuxOPEXSaneparOriginal!$B$4:$AB$177,27,0)</f>
        <v>0</v>
      </c>
      <c r="N81" s="156">
        <f>VLOOKUP(A81,AuxOPEXSaneparOriginal!$B$4:$AC$177,28,0)</f>
        <v>0</v>
      </c>
      <c r="O81" s="156">
        <f>VLOOKUP(A81,AuxOPEXSaneparOriginal!$B$4:$AD$177,29,0)</f>
        <v>0</v>
      </c>
      <c r="P81" s="156">
        <f>VLOOKUP(A81,AuxOPEXSaneparOriginal!$B$4:$AE$177,30,0)</f>
        <v>0</v>
      </c>
      <c r="Q81" s="146">
        <f>VLOOKUP(A81,AuxOPEXSaneparOriginal!$B$4:$AF$177,31,0)</f>
        <v>12007926.749999989</v>
      </c>
      <c r="R81" s="146">
        <f>VLOOKUP(A81,AuxOPEXSaneparOriginal!$B$4:$AG$177,32,0)</f>
        <v>6688.52</v>
      </c>
      <c r="S81" s="146">
        <f>VLOOKUP(A81,AuxOPEXSaneparOriginal!$B$4:$AH$177,33,0)</f>
        <v>0</v>
      </c>
      <c r="T81" s="157">
        <f t="shared" si="287"/>
        <v>12014615.269999988</v>
      </c>
      <c r="U81" s="156">
        <f>VLOOKUP(A81,AuxOPEXSaneparOriginal!$B$4:$AI$177,34,0)</f>
        <v>0</v>
      </c>
      <c r="V81" s="156">
        <f>VLOOKUP(A81,AuxOPEXSaneparOriginal!$B$4:$AJ$177,35,0)</f>
        <v>0</v>
      </c>
      <c r="W81" s="156">
        <f>VLOOKUP(A81,AuxOPEXSaneparOriginal!$B$4:$AK$177,36,0)</f>
        <v>0</v>
      </c>
      <c r="X81" s="19">
        <f>+VLOOKUP(A81,AuxOPEXSaneparOriginal!$B$4:$AL$177,37,0)</f>
        <v>0</v>
      </c>
      <c r="Y81" s="146">
        <f>VLOOKUP(A81,AuxOPEXSaneparOriginal!$B$4:$AM$177,38,0)</f>
        <v>17768142.609999962</v>
      </c>
      <c r="Z81" s="146">
        <f>VLOOKUP(A81,AuxOPEXSaneparOriginal!$B$4:$AN$177,39,0)</f>
        <v>5690.96</v>
      </c>
      <c r="AA81" s="146">
        <f>VLOOKUP(A81,AuxOPEXSaneparOriginal!$B$4:$AO$177,40,0)</f>
        <v>0</v>
      </c>
      <c r="AB81" s="157">
        <f t="shared" si="288"/>
        <v>17773833.569999963</v>
      </c>
      <c r="AC81" s="156">
        <f>VLOOKUP(A81,AuxOPEXSaneparOriginal!$B$4:$AP$177,41,0)</f>
        <v>0</v>
      </c>
      <c r="AD81" s="156">
        <f>+VLOOKUP(A81,AuxOPEXSaneparOriginal!$B$4:$AQ$177,42,0)</f>
        <v>0</v>
      </c>
      <c r="AE81" s="156">
        <f>VLOOKUP(A81,AuxOPEXSaneparOriginal!$B$4:$AR$177,43,0)</f>
        <v>0</v>
      </c>
      <c r="AF81" s="156">
        <f>+VLOOKUP(A81,AuxOPEXSaneparOriginal!$B$4:$AS$177,44,0)</f>
        <v>0</v>
      </c>
      <c r="AG81" s="146">
        <f>VLOOKUP(A81,AuxOPEXSaneparOriginal!$B$4:$AT$177,45,0)</f>
        <v>31450358.18000003</v>
      </c>
      <c r="AH81" s="146">
        <f>VLOOKUP(A81,AuxOPEXSaneparOriginal!$B$4:$AU$177,46,0)</f>
        <v>0</v>
      </c>
      <c r="AI81" s="146">
        <f>VLOOKUP(A81,AuxOPEXSaneparOriginal!$B$4:$AV$177,47,0)</f>
        <v>0</v>
      </c>
      <c r="AJ81" s="157">
        <f t="shared" si="289"/>
        <v>31450358.18000003</v>
      </c>
      <c r="AK81" s="157">
        <f t="shared" si="205"/>
        <v>17199495.217499994</v>
      </c>
      <c r="AL81" s="157">
        <f t="shared" si="206"/>
        <v>24612095.874999996</v>
      </c>
      <c r="AM81" s="144"/>
      <c r="AN81" s="167">
        <f t="shared" si="290"/>
        <v>0</v>
      </c>
      <c r="AO81" s="168">
        <f t="shared" si="291"/>
        <v>0</v>
      </c>
      <c r="AP81" s="57">
        <f t="shared" si="292"/>
        <v>0</v>
      </c>
      <c r="AQ81" s="57">
        <f t="shared" si="293"/>
        <v>0</v>
      </c>
      <c r="AR81" s="57">
        <f t="shared" si="294"/>
        <v>7554485.6500000013</v>
      </c>
      <c r="AS81" s="57">
        <f t="shared" si="295"/>
        <v>4688.2</v>
      </c>
      <c r="AT81" s="57">
        <f t="shared" si="296"/>
        <v>0</v>
      </c>
      <c r="AU81" s="157">
        <f t="shared" si="297"/>
        <v>7559173.8500000015</v>
      </c>
      <c r="AV81" s="57">
        <f t="shared" si="298"/>
        <v>0</v>
      </c>
      <c r="AW81" s="57">
        <f t="shared" si="299"/>
        <v>0</v>
      </c>
      <c r="AX81" s="57">
        <f t="shared" si="300"/>
        <v>0</v>
      </c>
      <c r="AY81" s="57">
        <f t="shared" si="301"/>
        <v>0</v>
      </c>
      <c r="AZ81" s="57">
        <f t="shared" si="302"/>
        <v>12007926.749999989</v>
      </c>
      <c r="BA81" s="57">
        <f t="shared" si="303"/>
        <v>6688.52</v>
      </c>
      <c r="BB81" s="57">
        <f t="shared" si="304"/>
        <v>0</v>
      </c>
      <c r="BC81" s="157">
        <f t="shared" si="305"/>
        <v>12014615.269999988</v>
      </c>
      <c r="BD81" s="57">
        <f t="shared" si="306"/>
        <v>0</v>
      </c>
      <c r="BE81" s="57">
        <f t="shared" si="307"/>
        <v>0</v>
      </c>
      <c r="BF81" s="57">
        <f t="shared" si="308"/>
        <v>0</v>
      </c>
      <c r="BG81" s="57">
        <f t="shared" si="309"/>
        <v>0</v>
      </c>
      <c r="BH81" s="57">
        <f t="shared" si="310"/>
        <v>17768142.609999962</v>
      </c>
      <c r="BI81" s="57">
        <f t="shared" si="311"/>
        <v>5690.96</v>
      </c>
      <c r="BJ81" s="57">
        <f t="shared" si="312"/>
        <v>0</v>
      </c>
      <c r="BK81" s="157">
        <f t="shared" si="313"/>
        <v>17773833.569999963</v>
      </c>
      <c r="BL81" s="57">
        <f t="shared" si="314"/>
        <v>0</v>
      </c>
      <c r="BM81" s="57">
        <f t="shared" si="315"/>
        <v>0</v>
      </c>
      <c r="BN81" s="57">
        <f t="shared" si="316"/>
        <v>0</v>
      </c>
      <c r="BO81" s="57">
        <f t="shared" si="317"/>
        <v>0</v>
      </c>
      <c r="BP81" s="57">
        <f t="shared" si="318"/>
        <v>31450358.18000003</v>
      </c>
      <c r="BQ81" s="57">
        <f t="shared" si="319"/>
        <v>0</v>
      </c>
      <c r="BR81" s="57">
        <f t="shared" si="320"/>
        <v>0</v>
      </c>
      <c r="BS81" s="157">
        <f t="shared" si="321"/>
        <v>31450358.18000003</v>
      </c>
      <c r="BT81" s="157">
        <f t="shared" si="73"/>
        <v>17199495.217499994</v>
      </c>
      <c r="BU81" s="157">
        <f t="shared" si="74"/>
        <v>24612095.874999996</v>
      </c>
      <c r="BV81" s="144"/>
      <c r="BW81" s="158">
        <f t="shared" si="322"/>
        <v>7559173.8500000015</v>
      </c>
      <c r="BX81" s="159">
        <f t="shared" si="323"/>
        <v>12014615.269999988</v>
      </c>
      <c r="BY81" s="159">
        <f t="shared" si="324"/>
        <v>17773833.569999963</v>
      </c>
      <c r="BZ81" s="159">
        <f t="shared" si="325"/>
        <v>31450358.18000003</v>
      </c>
      <c r="CA81" s="158">
        <f t="shared" si="326"/>
        <v>17199495.217499994</v>
      </c>
      <c r="CB81" s="157">
        <f t="shared" si="327"/>
        <v>14894224.419999976</v>
      </c>
      <c r="CC81" s="144"/>
      <c r="CD81" s="158">
        <f t="shared" si="328"/>
        <v>8587130.027596416</v>
      </c>
      <c r="CE81" s="159">
        <f t="shared" si="329"/>
        <v>13117728.760784348</v>
      </c>
      <c r="CF81" s="159">
        <f t="shared" si="330"/>
        <v>18790370.655985612</v>
      </c>
      <c r="CG81" s="159">
        <f t="shared" si="331"/>
        <v>31450358.18000003</v>
      </c>
      <c r="CH81" s="158">
        <f t="shared" si="332"/>
        <v>17986396.906091601</v>
      </c>
      <c r="CI81" s="157">
        <f t="shared" si="333"/>
        <v>15954049.70838498</v>
      </c>
      <c r="CK81" s="61">
        <f t="shared" si="334"/>
        <v>0.52760336906835814</v>
      </c>
      <c r="CL81" s="62">
        <f t="shared" si="335"/>
        <v>0.43244085913406849</v>
      </c>
      <c r="CM81" s="63">
        <f t="shared" si="336"/>
        <v>0.67374868520656972</v>
      </c>
      <c r="CN81" s="61">
        <f t="shared" si="337"/>
        <v>2.6624993541413922</v>
      </c>
      <c r="CO81" s="29"/>
      <c r="CP81" s="61">
        <f t="shared" si="338"/>
        <v>3.6174557114151767E-3</v>
      </c>
      <c r="CQ81" s="62">
        <f t="shared" si="339"/>
        <v>5.6483002558927221E-3</v>
      </c>
      <c r="CR81" s="63">
        <f t="shared" si="340"/>
        <v>7.8031384426954379E-3</v>
      </c>
      <c r="CS81" s="61">
        <f t="shared" si="341"/>
        <v>1.2994762300477086E-2</v>
      </c>
      <c r="CU81" s="60">
        <f t="shared" si="207"/>
        <v>100</v>
      </c>
      <c r="CV81" s="132">
        <f t="shared" si="208"/>
        <v>152.76033690683582</v>
      </c>
      <c r="CW81" s="132">
        <f t="shared" si="209"/>
        <v>218.82014824043767</v>
      </c>
      <c r="CX81" s="131">
        <f t="shared" si="210"/>
        <v>366.2499354141392</v>
      </c>
    </row>
    <row r="82" spans="1:102">
      <c r="A82" s="29">
        <v>308</v>
      </c>
      <c r="B82" s="29" t="s">
        <v>5</v>
      </c>
      <c r="C82" s="55" t="s">
        <v>112</v>
      </c>
      <c r="D82" s="56">
        <v>0</v>
      </c>
      <c r="E82" s="57">
        <f>VLOOKUP(A82,AuxOPEXSaneparOriginal!$B$4:$F$177,3,0)</f>
        <v>782478.73999999976</v>
      </c>
      <c r="F82" s="156">
        <f>VLOOKUP(A82,AuxOPEXSaneparOriginal!$B$4:$F$177,4,0)</f>
        <v>522051.67999999993</v>
      </c>
      <c r="G82" s="57">
        <f>VLOOKUP(A82,AuxOPEXSaneparOriginal!$B$4:$K$177,8,0)</f>
        <v>6774.75</v>
      </c>
      <c r="H82" s="156">
        <f>VLOOKUP(A82,AuxOPEXSaneparOriginal!$B$4:$K$177,9,0)</f>
        <v>29689.08</v>
      </c>
      <c r="I82" s="57">
        <f>VLOOKUP(A82,AuxOPEXSaneparOriginal!$B$4:$N$177,13,0)</f>
        <v>444665.99</v>
      </c>
      <c r="J82" s="57">
        <f>VLOOKUP(A82,AuxOPEXSaneparOriginal!$B$4:$Q$177,16,0)</f>
        <v>18948279.049999997</v>
      </c>
      <c r="K82" s="57">
        <f>VLOOKUP(A82,AuxOPEXSaneparOriginal!$B$4:$V$177,21,0)</f>
        <v>0</v>
      </c>
      <c r="L82" s="157">
        <f t="shared" si="286"/>
        <v>20733939.289999995</v>
      </c>
      <c r="M82" s="19">
        <f>VLOOKUP(A82,AuxOPEXSaneparOriginal!$B$4:$AB$177,27,0)</f>
        <v>722763.01999999979</v>
      </c>
      <c r="N82" s="156">
        <f>VLOOKUP(A82,AuxOPEXSaneparOriginal!$B$4:$AC$177,28,0)</f>
        <v>509513.23000000004</v>
      </c>
      <c r="O82" s="156">
        <f>VLOOKUP(A82,AuxOPEXSaneparOriginal!$B$4:$AD$177,29,0)</f>
        <v>9205.0199999999986</v>
      </c>
      <c r="P82" s="156">
        <f>VLOOKUP(A82,AuxOPEXSaneparOriginal!$B$4:$AE$177,30,0)</f>
        <v>26802.400000000001</v>
      </c>
      <c r="Q82" s="146">
        <f>VLOOKUP(A82,AuxOPEXSaneparOriginal!$B$4:$AF$177,31,0)</f>
        <v>375056.16</v>
      </c>
      <c r="R82" s="146">
        <f>VLOOKUP(A82,AuxOPEXSaneparOriginal!$B$4:$AG$177,32,0)</f>
        <v>17825169.409999996</v>
      </c>
      <c r="S82" s="146">
        <f>VLOOKUP(A82,AuxOPEXSaneparOriginal!$B$4:$AH$177,33,0)</f>
        <v>0</v>
      </c>
      <c r="T82" s="157">
        <f t="shared" si="287"/>
        <v>19468509.239999995</v>
      </c>
      <c r="U82" s="156">
        <f>VLOOKUP(A82,AuxOPEXSaneparOriginal!$B$4:$AI$177,34,0)</f>
        <v>246833.02000000002</v>
      </c>
      <c r="V82" s="156">
        <f>VLOOKUP(A82,AuxOPEXSaneparOriginal!$B$4:$AJ$177,35,0)</f>
        <v>185037.46000000005</v>
      </c>
      <c r="W82" s="156">
        <f>VLOOKUP(A82,AuxOPEXSaneparOriginal!$B$4:$AK$177,36,0)</f>
        <v>10136.549999999997</v>
      </c>
      <c r="X82" s="19">
        <f>+VLOOKUP(A82,AuxOPEXSaneparOriginal!$B$4:$AL$177,37,0)</f>
        <v>11224.66</v>
      </c>
      <c r="Y82" s="146">
        <f>VLOOKUP(A82,AuxOPEXSaneparOriginal!$B$4:$AM$177,38,0)</f>
        <v>849236.51000000071</v>
      </c>
      <c r="Z82" s="146">
        <f>VLOOKUP(A82,AuxOPEXSaneparOriginal!$B$4:$AN$177,39,0)</f>
        <v>17068270.550000004</v>
      </c>
      <c r="AA82" s="146">
        <f>VLOOKUP(A82,AuxOPEXSaneparOriginal!$B$4:$AO$177,40,0)</f>
        <v>0</v>
      </c>
      <c r="AB82" s="157">
        <f t="shared" si="288"/>
        <v>18370738.750000004</v>
      </c>
      <c r="AC82" s="156">
        <f>VLOOKUP(A82,AuxOPEXSaneparOriginal!$B$4:$AP$177,41,0)</f>
        <v>236268.0299999998</v>
      </c>
      <c r="AD82" s="156">
        <f>+VLOOKUP(A82,AuxOPEXSaneparOriginal!$B$4:$AQ$177,42,0)</f>
        <v>206073.17999999993</v>
      </c>
      <c r="AE82" s="156">
        <f>VLOOKUP(A82,AuxOPEXSaneparOriginal!$B$4:$AR$177,43,0)</f>
        <v>18313.750000000004</v>
      </c>
      <c r="AF82" s="156">
        <f>+VLOOKUP(A82,AuxOPEXSaneparOriginal!$B$4:$AS$177,44,0)</f>
        <v>33245.81</v>
      </c>
      <c r="AG82" s="146">
        <f>VLOOKUP(A82,AuxOPEXSaneparOriginal!$B$4:$AT$177,45,0)</f>
        <v>2382432.1700000009</v>
      </c>
      <c r="AH82" s="146">
        <f>VLOOKUP(A82,AuxOPEXSaneparOriginal!$B$4:$AU$177,46,0)</f>
        <v>15339316.389999997</v>
      </c>
      <c r="AI82" s="146">
        <f>VLOOKUP(A82,AuxOPEXSaneparOriginal!$B$4:$AV$177,47,0)</f>
        <v>0</v>
      </c>
      <c r="AJ82" s="157">
        <f t="shared" si="289"/>
        <v>18215649.329999998</v>
      </c>
      <c r="AK82" s="157">
        <f t="shared" si="205"/>
        <v>19197209.152499996</v>
      </c>
      <c r="AL82" s="157">
        <f t="shared" si="206"/>
        <v>18293194.039999999</v>
      </c>
      <c r="AM82" s="144"/>
      <c r="AN82" s="167">
        <f t="shared" si="290"/>
        <v>782478.73999999976</v>
      </c>
      <c r="AO82" s="168">
        <f t="shared" si="291"/>
        <v>522051.67999999993</v>
      </c>
      <c r="AP82" s="57">
        <f t="shared" si="292"/>
        <v>6774.75</v>
      </c>
      <c r="AQ82" s="57">
        <f t="shared" si="293"/>
        <v>29689.08</v>
      </c>
      <c r="AR82" s="57">
        <f t="shared" si="294"/>
        <v>444665.99</v>
      </c>
      <c r="AS82" s="57">
        <f t="shared" si="295"/>
        <v>18948279.049999997</v>
      </c>
      <c r="AT82" s="57">
        <f t="shared" si="296"/>
        <v>0</v>
      </c>
      <c r="AU82" s="157">
        <f t="shared" si="297"/>
        <v>20733939.289999995</v>
      </c>
      <c r="AV82" s="57">
        <f t="shared" si="298"/>
        <v>722763.01999999979</v>
      </c>
      <c r="AW82" s="57">
        <f t="shared" si="299"/>
        <v>509513.23000000004</v>
      </c>
      <c r="AX82" s="57">
        <f t="shared" si="300"/>
        <v>9205.0199999999986</v>
      </c>
      <c r="AY82" s="57">
        <f t="shared" si="301"/>
        <v>26802.400000000001</v>
      </c>
      <c r="AZ82" s="57">
        <f t="shared" si="302"/>
        <v>375056.16</v>
      </c>
      <c r="BA82" s="57">
        <f t="shared" si="303"/>
        <v>17825169.409999996</v>
      </c>
      <c r="BB82" s="57">
        <f t="shared" si="304"/>
        <v>0</v>
      </c>
      <c r="BC82" s="157">
        <f t="shared" si="305"/>
        <v>19468509.239999995</v>
      </c>
      <c r="BD82" s="57">
        <f t="shared" si="306"/>
        <v>246833.02000000002</v>
      </c>
      <c r="BE82" s="57">
        <f t="shared" si="307"/>
        <v>185037.46000000005</v>
      </c>
      <c r="BF82" s="57">
        <f t="shared" si="308"/>
        <v>10136.549999999997</v>
      </c>
      <c r="BG82" s="57">
        <f t="shared" si="309"/>
        <v>11224.66</v>
      </c>
      <c r="BH82" s="57">
        <f t="shared" si="310"/>
        <v>849236.51000000071</v>
      </c>
      <c r="BI82" s="57">
        <f t="shared" si="311"/>
        <v>17068270.550000004</v>
      </c>
      <c r="BJ82" s="57">
        <f t="shared" si="312"/>
        <v>0</v>
      </c>
      <c r="BK82" s="157">
        <f t="shared" si="313"/>
        <v>18370738.750000004</v>
      </c>
      <c r="BL82" s="57">
        <f t="shared" si="314"/>
        <v>236268.0299999998</v>
      </c>
      <c r="BM82" s="57">
        <f t="shared" si="315"/>
        <v>206073.17999999993</v>
      </c>
      <c r="BN82" s="57">
        <f t="shared" si="316"/>
        <v>18313.750000000004</v>
      </c>
      <c r="BO82" s="57">
        <f t="shared" si="317"/>
        <v>33245.81</v>
      </c>
      <c r="BP82" s="57">
        <f t="shared" si="318"/>
        <v>2382432.1700000009</v>
      </c>
      <c r="BQ82" s="57">
        <f t="shared" si="319"/>
        <v>15339316.389999997</v>
      </c>
      <c r="BR82" s="57">
        <f t="shared" si="320"/>
        <v>0</v>
      </c>
      <c r="BS82" s="157">
        <f t="shared" si="321"/>
        <v>18215649.329999998</v>
      </c>
      <c r="BT82" s="157">
        <f t="shared" si="73"/>
        <v>19197209.152499996</v>
      </c>
      <c r="BU82" s="157">
        <f t="shared" si="74"/>
        <v>18293194.039999999</v>
      </c>
      <c r="BV82" s="144"/>
      <c r="BW82" s="158">
        <f t="shared" si="322"/>
        <v>20733939.289999995</v>
      </c>
      <c r="BX82" s="159">
        <f t="shared" si="323"/>
        <v>19468509.239999995</v>
      </c>
      <c r="BY82" s="159">
        <f t="shared" si="324"/>
        <v>18370738.750000004</v>
      </c>
      <c r="BZ82" s="159">
        <f t="shared" si="325"/>
        <v>18215649.329999998</v>
      </c>
      <c r="CA82" s="158">
        <f t="shared" si="326"/>
        <v>19197209.152499996</v>
      </c>
      <c r="CB82" s="157">
        <f t="shared" si="327"/>
        <v>18919623.994999997</v>
      </c>
      <c r="CC82" s="144"/>
      <c r="CD82" s="158">
        <f t="shared" si="328"/>
        <v>23553504.152774584</v>
      </c>
      <c r="CE82" s="159">
        <f t="shared" si="329"/>
        <v>21255996.787914127</v>
      </c>
      <c r="CF82" s="159">
        <f t="shared" si="330"/>
        <v>19421414.574254878</v>
      </c>
      <c r="CG82" s="159">
        <f t="shared" si="331"/>
        <v>18215649.329999998</v>
      </c>
      <c r="CH82" s="158">
        <f t="shared" si="332"/>
        <v>20611641.211235896</v>
      </c>
      <c r="CI82" s="157">
        <f t="shared" si="333"/>
        <v>20338705.681084502</v>
      </c>
      <c r="CK82" s="61">
        <f t="shared" si="334"/>
        <v>-9.7544184931387834E-2</v>
      </c>
      <c r="CL82" s="62">
        <f t="shared" si="335"/>
        <v>-8.6308924110412355E-2</v>
      </c>
      <c r="CM82" s="63">
        <f t="shared" si="336"/>
        <v>-6.2084316239932824E-2</v>
      </c>
      <c r="CN82" s="61">
        <f t="shared" si="337"/>
        <v>-0.22662678080305054</v>
      </c>
      <c r="CO82" s="29"/>
      <c r="CP82" s="61">
        <f t="shared" si="338"/>
        <v>9.9222624843779729E-3</v>
      </c>
      <c r="CQ82" s="62">
        <f t="shared" si="339"/>
        <v>9.1525182663749084E-3</v>
      </c>
      <c r="CR82" s="63">
        <f t="shared" si="340"/>
        <v>8.0651941066217647E-3</v>
      </c>
      <c r="CS82" s="61">
        <f t="shared" si="341"/>
        <v>7.5264018246610142E-3</v>
      </c>
      <c r="CU82" s="60">
        <f t="shared" si="207"/>
        <v>100</v>
      </c>
      <c r="CV82" s="132">
        <f t="shared" si="208"/>
        <v>90.245581506861214</v>
      </c>
      <c r="CW82" s="132">
        <f t="shared" si="209"/>
        <v>82.456582461285493</v>
      </c>
      <c r="CX82" s="131">
        <f t="shared" si="210"/>
        <v>77.337321919694944</v>
      </c>
    </row>
    <row r="83" spans="1:102">
      <c r="A83" s="29">
        <v>309</v>
      </c>
      <c r="B83" s="29" t="s">
        <v>5</v>
      </c>
      <c r="C83" s="55" t="s">
        <v>113</v>
      </c>
      <c r="D83" s="56">
        <v>0</v>
      </c>
      <c r="E83" s="57">
        <f>VLOOKUP(A83,AuxOPEXSaneparOriginal!$B$4:$F$177,3,0)</f>
        <v>16655920.430000018</v>
      </c>
      <c r="F83" s="156">
        <f>VLOOKUP(A83,AuxOPEXSaneparOriginal!$B$4:$F$177,4,0)</f>
        <v>3001162.3400000008</v>
      </c>
      <c r="G83" s="57">
        <f>VLOOKUP(A83,AuxOPEXSaneparOriginal!$B$4:$K$177,8,0)</f>
        <v>244374.06000000003</v>
      </c>
      <c r="H83" s="156">
        <f>VLOOKUP(A83,AuxOPEXSaneparOriginal!$B$4:$K$177,9,0)</f>
        <v>14386731.24</v>
      </c>
      <c r="I83" s="57">
        <f>VLOOKUP(A83,AuxOPEXSaneparOriginal!$B$4:$N$177,13,0)</f>
        <v>1401651.7299999995</v>
      </c>
      <c r="J83" s="57">
        <f>VLOOKUP(A83,AuxOPEXSaneparOriginal!$B$4:$Q$177,16,0)</f>
        <v>11051935.699999999</v>
      </c>
      <c r="K83" s="57">
        <f>VLOOKUP(A83,AuxOPEXSaneparOriginal!$B$4:$V$177,21,0)</f>
        <v>0</v>
      </c>
      <c r="L83" s="157">
        <f t="shared" si="286"/>
        <v>46741775.500000015</v>
      </c>
      <c r="M83" s="19">
        <f>VLOOKUP(A83,AuxOPEXSaneparOriginal!$B$4:$AB$177,27,0)</f>
        <v>19009816.670000032</v>
      </c>
      <c r="N83" s="156">
        <f>VLOOKUP(A83,AuxOPEXSaneparOriginal!$B$4:$AC$177,28,0)</f>
        <v>3944777.5899999989</v>
      </c>
      <c r="O83" s="156">
        <f>VLOOKUP(A83,AuxOPEXSaneparOriginal!$B$4:$AD$177,29,0)</f>
        <v>860010.25</v>
      </c>
      <c r="P83" s="156">
        <f>VLOOKUP(A83,AuxOPEXSaneparOriginal!$B$4:$AE$177,30,0)</f>
        <v>16661024.770000014</v>
      </c>
      <c r="Q83" s="146">
        <f>VLOOKUP(A83,AuxOPEXSaneparOriginal!$B$4:$AF$177,31,0)</f>
        <v>1779249.7799999991</v>
      </c>
      <c r="R83" s="146">
        <f>VLOOKUP(A83,AuxOPEXSaneparOriginal!$B$4:$AG$177,32,0)</f>
        <v>12877409.419999998</v>
      </c>
      <c r="S83" s="146">
        <f>VLOOKUP(A83,AuxOPEXSaneparOriginal!$B$4:$AH$177,33,0)</f>
        <v>0</v>
      </c>
      <c r="T83" s="157">
        <f t="shared" si="287"/>
        <v>55132288.480000049</v>
      </c>
      <c r="U83" s="156">
        <f>VLOOKUP(A83,AuxOPEXSaneparOriginal!$B$4:$AI$177,34,0)</f>
        <v>19872552.06000001</v>
      </c>
      <c r="V83" s="156">
        <f>VLOOKUP(A83,AuxOPEXSaneparOriginal!$B$4:$AJ$177,35,0)</f>
        <v>4506660.549999998</v>
      </c>
      <c r="W83" s="156">
        <f>VLOOKUP(A83,AuxOPEXSaneparOriginal!$B$4:$AK$177,36,0)</f>
        <v>941216.76</v>
      </c>
      <c r="X83" s="19">
        <f>+VLOOKUP(A83,AuxOPEXSaneparOriginal!$B$4:$AL$177,37,0)</f>
        <v>18640022.599999998</v>
      </c>
      <c r="Y83" s="146">
        <f>VLOOKUP(A83,AuxOPEXSaneparOriginal!$B$4:$AM$177,38,0)</f>
        <v>1686903.6000000006</v>
      </c>
      <c r="Z83" s="146">
        <f>VLOOKUP(A83,AuxOPEXSaneparOriginal!$B$4:$AN$177,39,0)</f>
        <v>14642790.700000003</v>
      </c>
      <c r="AA83" s="146">
        <f>VLOOKUP(A83,AuxOPEXSaneparOriginal!$B$4:$AO$177,40,0)</f>
        <v>0</v>
      </c>
      <c r="AB83" s="157">
        <f t="shared" si="288"/>
        <v>60290146.270000011</v>
      </c>
      <c r="AC83" s="156">
        <f>VLOOKUP(A83,AuxOPEXSaneparOriginal!$B$4:$AP$177,41,0)</f>
        <v>21071438.360000003</v>
      </c>
      <c r="AD83" s="156">
        <f>+VLOOKUP(A83,AuxOPEXSaneparOriginal!$B$4:$AQ$177,42,0)</f>
        <v>3907974.4299999983</v>
      </c>
      <c r="AE83" s="156">
        <f>VLOOKUP(A83,AuxOPEXSaneparOriginal!$B$4:$AR$177,43,0)</f>
        <v>924135.67999999993</v>
      </c>
      <c r="AF83" s="156">
        <f>+VLOOKUP(A83,AuxOPEXSaneparOriginal!$B$4:$AS$177,44,0)</f>
        <v>19949322.569999982</v>
      </c>
      <c r="AG83" s="146">
        <f>VLOOKUP(A83,AuxOPEXSaneparOriginal!$B$4:$AT$177,45,0)</f>
        <v>1616814.2400000021</v>
      </c>
      <c r="AH83" s="146">
        <f>VLOOKUP(A83,AuxOPEXSaneparOriginal!$B$4:$AU$177,46,0)</f>
        <v>13271622.890000001</v>
      </c>
      <c r="AI83" s="146">
        <f>VLOOKUP(A83,AuxOPEXSaneparOriginal!$B$4:$AV$177,47,0)</f>
        <v>0</v>
      </c>
      <c r="AJ83" s="157">
        <f t="shared" si="289"/>
        <v>60741308.169999987</v>
      </c>
      <c r="AK83" s="157">
        <f t="shared" si="205"/>
        <v>55726379.605000019</v>
      </c>
      <c r="AL83" s="157">
        <f t="shared" si="206"/>
        <v>60515727.219999999</v>
      </c>
      <c r="AM83" s="144"/>
      <c r="AN83" s="167">
        <f t="shared" si="290"/>
        <v>16655920.430000018</v>
      </c>
      <c r="AO83" s="168">
        <f t="shared" si="291"/>
        <v>3001162.3400000008</v>
      </c>
      <c r="AP83" s="57">
        <f t="shared" si="292"/>
        <v>244374.06000000003</v>
      </c>
      <c r="AQ83" s="57">
        <f t="shared" si="293"/>
        <v>14386731.24</v>
      </c>
      <c r="AR83" s="57">
        <f t="shared" si="294"/>
        <v>1401651.7299999995</v>
      </c>
      <c r="AS83" s="57">
        <f t="shared" si="295"/>
        <v>11051935.699999999</v>
      </c>
      <c r="AT83" s="57">
        <f t="shared" si="296"/>
        <v>0</v>
      </c>
      <c r="AU83" s="157">
        <f t="shared" si="297"/>
        <v>46741775.500000015</v>
      </c>
      <c r="AV83" s="57">
        <f t="shared" si="298"/>
        <v>19009816.670000032</v>
      </c>
      <c r="AW83" s="57">
        <f t="shared" si="299"/>
        <v>3944777.5899999989</v>
      </c>
      <c r="AX83" s="57">
        <f t="shared" si="300"/>
        <v>860010.25</v>
      </c>
      <c r="AY83" s="57">
        <f t="shared" si="301"/>
        <v>16661024.770000014</v>
      </c>
      <c r="AZ83" s="57">
        <f t="shared" si="302"/>
        <v>1779249.7799999991</v>
      </c>
      <c r="BA83" s="57">
        <f t="shared" si="303"/>
        <v>12877409.419999998</v>
      </c>
      <c r="BB83" s="57">
        <f t="shared" si="304"/>
        <v>0</v>
      </c>
      <c r="BC83" s="157">
        <f t="shared" si="305"/>
        <v>55132288.480000049</v>
      </c>
      <c r="BD83" s="57">
        <f t="shared" si="306"/>
        <v>19872552.06000001</v>
      </c>
      <c r="BE83" s="57">
        <f t="shared" si="307"/>
        <v>4506660.549999998</v>
      </c>
      <c r="BF83" s="57">
        <f t="shared" si="308"/>
        <v>941216.76</v>
      </c>
      <c r="BG83" s="57">
        <f t="shared" si="309"/>
        <v>18640022.599999998</v>
      </c>
      <c r="BH83" s="57">
        <f t="shared" si="310"/>
        <v>1686903.6000000006</v>
      </c>
      <c r="BI83" s="57">
        <f t="shared" si="311"/>
        <v>14642790.700000003</v>
      </c>
      <c r="BJ83" s="57">
        <f t="shared" si="312"/>
        <v>0</v>
      </c>
      <c r="BK83" s="157">
        <f t="shared" si="313"/>
        <v>60290146.270000011</v>
      </c>
      <c r="BL83" s="57">
        <f t="shared" si="314"/>
        <v>21071438.360000003</v>
      </c>
      <c r="BM83" s="57">
        <f t="shared" si="315"/>
        <v>3907974.4299999983</v>
      </c>
      <c r="BN83" s="57">
        <f t="shared" si="316"/>
        <v>924135.67999999993</v>
      </c>
      <c r="BO83" s="57">
        <f t="shared" si="317"/>
        <v>19949322.569999982</v>
      </c>
      <c r="BP83" s="57">
        <f t="shared" si="318"/>
        <v>1616814.2400000021</v>
      </c>
      <c r="BQ83" s="57">
        <f t="shared" si="319"/>
        <v>13271622.890000001</v>
      </c>
      <c r="BR83" s="57">
        <f t="shared" si="320"/>
        <v>0</v>
      </c>
      <c r="BS83" s="157">
        <f t="shared" si="321"/>
        <v>60741308.169999987</v>
      </c>
      <c r="BT83" s="157">
        <f t="shared" si="73"/>
        <v>55726379.605000019</v>
      </c>
      <c r="BU83" s="157">
        <f t="shared" si="74"/>
        <v>60515727.219999999</v>
      </c>
      <c r="BV83" s="144"/>
      <c r="BW83" s="158">
        <f t="shared" si="322"/>
        <v>46741775.500000015</v>
      </c>
      <c r="BX83" s="159">
        <f t="shared" si="323"/>
        <v>55132288.480000049</v>
      </c>
      <c r="BY83" s="159">
        <f t="shared" si="324"/>
        <v>60290146.270000011</v>
      </c>
      <c r="BZ83" s="159">
        <f t="shared" si="325"/>
        <v>60741308.169999987</v>
      </c>
      <c r="CA83" s="158">
        <f t="shared" si="326"/>
        <v>55726379.605000012</v>
      </c>
      <c r="CB83" s="157">
        <f t="shared" si="327"/>
        <v>57711217.37500003</v>
      </c>
      <c r="CC83" s="144"/>
      <c r="CD83" s="158">
        <f t="shared" si="328"/>
        <v>53098091.392516464</v>
      </c>
      <c r="CE83" s="159">
        <f t="shared" si="329"/>
        <v>60194220.954189315</v>
      </c>
      <c r="CF83" s="159">
        <f t="shared" si="330"/>
        <v>63738314.576605491</v>
      </c>
      <c r="CG83" s="159">
        <f t="shared" si="331"/>
        <v>60741308.169999987</v>
      </c>
      <c r="CH83" s="158">
        <f t="shared" si="332"/>
        <v>59442983.773327813</v>
      </c>
      <c r="CI83" s="157">
        <f t="shared" si="333"/>
        <v>60467764.562094651</v>
      </c>
      <c r="CK83" s="61">
        <f t="shared" si="334"/>
        <v>0.13364189513359737</v>
      </c>
      <c r="CL83" s="62">
        <f t="shared" si="335"/>
        <v>5.8877639185884734E-2</v>
      </c>
      <c r="CM83" s="63">
        <f t="shared" si="336"/>
        <v>-4.7020484092083703E-2</v>
      </c>
      <c r="CN83" s="61">
        <f t="shared" si="337"/>
        <v>0.14394522622258976</v>
      </c>
      <c r="CO83" s="29"/>
      <c r="CP83" s="61">
        <f t="shared" si="338"/>
        <v>2.2368357455379996E-2</v>
      </c>
      <c r="CQ83" s="62">
        <f t="shared" si="339"/>
        <v>2.5918742475849244E-2</v>
      </c>
      <c r="CR83" s="63">
        <f t="shared" si="340"/>
        <v>2.6468817558257866E-2</v>
      </c>
      <c r="CS83" s="61">
        <f t="shared" si="341"/>
        <v>2.5097293231818321E-2</v>
      </c>
      <c r="CU83" s="60">
        <f t="shared" si="207"/>
        <v>100</v>
      </c>
      <c r="CV83" s="132">
        <f t="shared" si="208"/>
        <v>113.36418951335973</v>
      </c>
      <c r="CW83" s="132">
        <f t="shared" si="209"/>
        <v>120.03880536012757</v>
      </c>
      <c r="CX83" s="131">
        <f t="shared" si="210"/>
        <v>114.39452262225898</v>
      </c>
    </row>
    <row r="84" spans="1:102">
      <c r="A84" s="29">
        <v>311</v>
      </c>
      <c r="B84" s="29" t="s">
        <v>5</v>
      </c>
      <c r="C84" s="55" t="s">
        <v>114</v>
      </c>
      <c r="D84" s="56">
        <v>0</v>
      </c>
      <c r="E84" s="57">
        <f>VLOOKUP(A84,AuxOPEXSaneparOriginal!$B$4:$F$177,3,0)</f>
        <v>4338560.6500000004</v>
      </c>
      <c r="F84" s="156">
        <f>VLOOKUP(A84,AuxOPEXSaneparOriginal!$B$4:$F$177,4,0)</f>
        <v>1355617.21</v>
      </c>
      <c r="G84" s="57">
        <f>VLOOKUP(A84,AuxOPEXSaneparOriginal!$B$4:$K$177,8,0)</f>
        <v>33270.11</v>
      </c>
      <c r="H84" s="156">
        <f>VLOOKUP(A84,AuxOPEXSaneparOriginal!$B$4:$K$177,9,0)</f>
        <v>721810.07999999984</v>
      </c>
      <c r="I84" s="57">
        <f>VLOOKUP(A84,AuxOPEXSaneparOriginal!$B$4:$N$177,13,0)</f>
        <v>3582.5400000000004</v>
      </c>
      <c r="J84" s="57">
        <f>VLOOKUP(A84,AuxOPEXSaneparOriginal!$B$4:$Q$177,16,0)</f>
        <v>3262297.7800000003</v>
      </c>
      <c r="K84" s="57">
        <f>VLOOKUP(A84,AuxOPEXSaneparOriginal!$B$4:$V$177,21,0)</f>
        <v>0</v>
      </c>
      <c r="L84" s="157">
        <f t="shared" si="286"/>
        <v>9715138.370000001</v>
      </c>
      <c r="M84" s="19">
        <f>VLOOKUP(A84,AuxOPEXSaneparOriginal!$B$4:$AB$177,27,0)</f>
        <v>2944360.6100000003</v>
      </c>
      <c r="N84" s="156">
        <f>VLOOKUP(A84,AuxOPEXSaneparOriginal!$B$4:$AC$177,28,0)</f>
        <v>1193838.8699999996</v>
      </c>
      <c r="O84" s="156">
        <f>VLOOKUP(A84,AuxOPEXSaneparOriginal!$B$4:$AD$177,29,0)</f>
        <v>35346.92</v>
      </c>
      <c r="P84" s="156">
        <f>VLOOKUP(A84,AuxOPEXSaneparOriginal!$B$4:$AE$177,30,0)</f>
        <v>425670.95000000013</v>
      </c>
      <c r="Q84" s="146">
        <f>VLOOKUP(A84,AuxOPEXSaneparOriginal!$B$4:$AF$177,31,0)</f>
        <v>4149.7</v>
      </c>
      <c r="R84" s="146">
        <f>VLOOKUP(A84,AuxOPEXSaneparOriginal!$B$4:$AG$177,32,0)</f>
        <v>4118151.4400000009</v>
      </c>
      <c r="S84" s="146">
        <f>VLOOKUP(A84,AuxOPEXSaneparOriginal!$B$4:$AH$177,33,0)</f>
        <v>0</v>
      </c>
      <c r="T84" s="157">
        <f t="shared" si="287"/>
        <v>8721518.4900000002</v>
      </c>
      <c r="U84" s="156">
        <f>VLOOKUP(A84,AuxOPEXSaneparOriginal!$B$4:$AI$177,34,0)</f>
        <v>3466149.6599999964</v>
      </c>
      <c r="V84" s="156">
        <f>VLOOKUP(A84,AuxOPEXSaneparOriginal!$B$4:$AJ$177,35,0)</f>
        <v>1954529.83</v>
      </c>
      <c r="W84" s="156">
        <f>VLOOKUP(A84,AuxOPEXSaneparOriginal!$B$4:$AK$177,36,0)</f>
        <v>42525.5</v>
      </c>
      <c r="X84" s="19">
        <f>+VLOOKUP(A84,AuxOPEXSaneparOriginal!$B$4:$AL$177,37,0)</f>
        <v>655835.22</v>
      </c>
      <c r="Y84" s="146">
        <f>VLOOKUP(A84,AuxOPEXSaneparOriginal!$B$4:$AM$177,38,0)</f>
        <v>23203.000000000004</v>
      </c>
      <c r="Z84" s="146">
        <f>VLOOKUP(A84,AuxOPEXSaneparOriginal!$B$4:$AN$177,39,0)</f>
        <v>4792217.72</v>
      </c>
      <c r="AA84" s="146">
        <f>VLOOKUP(A84,AuxOPEXSaneparOriginal!$B$4:$AO$177,40,0)</f>
        <v>0</v>
      </c>
      <c r="AB84" s="157">
        <f t="shared" si="288"/>
        <v>10934460.929999996</v>
      </c>
      <c r="AC84" s="156">
        <f>VLOOKUP(A84,AuxOPEXSaneparOriginal!$B$4:$AP$177,41,0)</f>
        <v>4725331.4400000013</v>
      </c>
      <c r="AD84" s="156">
        <f>+VLOOKUP(A84,AuxOPEXSaneparOriginal!$B$4:$AQ$177,42,0)</f>
        <v>5289504.3499999978</v>
      </c>
      <c r="AE84" s="156">
        <f>VLOOKUP(A84,AuxOPEXSaneparOriginal!$B$4:$AR$177,43,0)</f>
        <v>50607.5</v>
      </c>
      <c r="AF84" s="156">
        <f>+VLOOKUP(A84,AuxOPEXSaneparOriginal!$B$4:$AS$177,44,0)</f>
        <v>865969.94000000018</v>
      </c>
      <c r="AG84" s="146">
        <f>VLOOKUP(A84,AuxOPEXSaneparOriginal!$B$4:$AT$177,45,0)</f>
        <v>15073.19</v>
      </c>
      <c r="AH84" s="146">
        <f>VLOOKUP(A84,AuxOPEXSaneparOriginal!$B$4:$AU$177,46,0)</f>
        <v>4474517.3599999994</v>
      </c>
      <c r="AI84" s="146">
        <f>VLOOKUP(A84,AuxOPEXSaneparOriginal!$B$4:$AV$177,47,0)</f>
        <v>0</v>
      </c>
      <c r="AJ84" s="157">
        <f t="shared" si="289"/>
        <v>15421003.779999997</v>
      </c>
      <c r="AK84" s="157">
        <f t="shared" si="205"/>
        <v>11198030.392499998</v>
      </c>
      <c r="AL84" s="157">
        <f t="shared" si="206"/>
        <v>13177732.354999997</v>
      </c>
      <c r="AM84" s="144"/>
      <c r="AN84" s="167">
        <f t="shared" si="290"/>
        <v>4338560.6500000004</v>
      </c>
      <c r="AO84" s="168">
        <f t="shared" si="291"/>
        <v>1355617.21</v>
      </c>
      <c r="AP84" s="57">
        <f t="shared" si="292"/>
        <v>33270.11</v>
      </c>
      <c r="AQ84" s="57">
        <f t="shared" si="293"/>
        <v>721810.07999999984</v>
      </c>
      <c r="AR84" s="57">
        <f t="shared" si="294"/>
        <v>3582.5400000000004</v>
      </c>
      <c r="AS84" s="57">
        <f t="shared" si="295"/>
        <v>3262297.7800000003</v>
      </c>
      <c r="AT84" s="57">
        <f t="shared" si="296"/>
        <v>0</v>
      </c>
      <c r="AU84" s="157">
        <f t="shared" si="297"/>
        <v>9715138.370000001</v>
      </c>
      <c r="AV84" s="57">
        <f t="shared" si="298"/>
        <v>2944360.6100000003</v>
      </c>
      <c r="AW84" s="57">
        <f t="shared" si="299"/>
        <v>1193838.8699999996</v>
      </c>
      <c r="AX84" s="57">
        <f t="shared" si="300"/>
        <v>35346.92</v>
      </c>
      <c r="AY84" s="57">
        <f t="shared" si="301"/>
        <v>425670.95000000013</v>
      </c>
      <c r="AZ84" s="57">
        <f t="shared" si="302"/>
        <v>4149.7</v>
      </c>
      <c r="BA84" s="57">
        <f t="shared" si="303"/>
        <v>4118151.4400000009</v>
      </c>
      <c r="BB84" s="57">
        <f t="shared" si="304"/>
        <v>0</v>
      </c>
      <c r="BC84" s="157">
        <f t="shared" si="305"/>
        <v>8721518.4900000002</v>
      </c>
      <c r="BD84" s="57">
        <f t="shared" si="306"/>
        <v>3466149.6599999964</v>
      </c>
      <c r="BE84" s="57">
        <f t="shared" si="307"/>
        <v>1954529.83</v>
      </c>
      <c r="BF84" s="57">
        <f t="shared" si="308"/>
        <v>42525.5</v>
      </c>
      <c r="BG84" s="57">
        <f t="shared" si="309"/>
        <v>655835.22</v>
      </c>
      <c r="BH84" s="57">
        <f t="shared" si="310"/>
        <v>23203.000000000004</v>
      </c>
      <c r="BI84" s="57">
        <f t="shared" si="311"/>
        <v>4792217.72</v>
      </c>
      <c r="BJ84" s="57">
        <f t="shared" si="312"/>
        <v>0</v>
      </c>
      <c r="BK84" s="157">
        <f t="shared" si="313"/>
        <v>10934460.929999996</v>
      </c>
      <c r="BL84" s="57">
        <f t="shared" si="314"/>
        <v>4725331.4400000013</v>
      </c>
      <c r="BM84" s="57">
        <f t="shared" si="315"/>
        <v>5289504.3499999978</v>
      </c>
      <c r="BN84" s="57">
        <f t="shared" si="316"/>
        <v>50607.5</v>
      </c>
      <c r="BO84" s="57">
        <f t="shared" si="317"/>
        <v>865969.94000000018</v>
      </c>
      <c r="BP84" s="57">
        <f t="shared" si="318"/>
        <v>15073.19</v>
      </c>
      <c r="BQ84" s="57">
        <f t="shared" si="319"/>
        <v>4474517.3599999994</v>
      </c>
      <c r="BR84" s="57">
        <f t="shared" si="320"/>
        <v>0</v>
      </c>
      <c r="BS84" s="157">
        <f t="shared" si="321"/>
        <v>15421003.779999997</v>
      </c>
      <c r="BT84" s="157">
        <f t="shared" si="73"/>
        <v>11198030.392499998</v>
      </c>
      <c r="BU84" s="157">
        <f t="shared" si="74"/>
        <v>13177732.354999997</v>
      </c>
      <c r="BV84" s="144"/>
      <c r="BW84" s="158">
        <f t="shared" si="322"/>
        <v>9715138.370000001</v>
      </c>
      <c r="BX84" s="159">
        <f t="shared" si="323"/>
        <v>8721518.4900000002</v>
      </c>
      <c r="BY84" s="159">
        <f t="shared" si="324"/>
        <v>10934460.929999996</v>
      </c>
      <c r="BZ84" s="159">
        <f t="shared" si="325"/>
        <v>15421003.779999997</v>
      </c>
      <c r="CA84" s="158">
        <f t="shared" si="326"/>
        <v>11198030.392499998</v>
      </c>
      <c r="CB84" s="157">
        <f t="shared" si="327"/>
        <v>10324799.649999999</v>
      </c>
      <c r="CC84" s="144"/>
      <c r="CD84" s="158">
        <f t="shared" si="328"/>
        <v>11036279.635145724</v>
      </c>
      <c r="CE84" s="159">
        <f t="shared" si="329"/>
        <v>9522278.6050964072</v>
      </c>
      <c r="CF84" s="159">
        <f t="shared" si="330"/>
        <v>11559834.460523393</v>
      </c>
      <c r="CG84" s="159">
        <f t="shared" si="331"/>
        <v>15421003.779999997</v>
      </c>
      <c r="CH84" s="158">
        <f t="shared" si="332"/>
        <v>11884849.12019138</v>
      </c>
      <c r="CI84" s="157">
        <f t="shared" si="333"/>
        <v>11298057.047834558</v>
      </c>
      <c r="CK84" s="61">
        <f t="shared" si="334"/>
        <v>-0.13718400403953934</v>
      </c>
      <c r="CL84" s="62">
        <f t="shared" si="335"/>
        <v>0.21397776098847476</v>
      </c>
      <c r="CM84" s="63">
        <f t="shared" si="336"/>
        <v>0.33401596992261617</v>
      </c>
      <c r="CN84" s="61">
        <f t="shared" si="337"/>
        <v>0.39730092837543229</v>
      </c>
      <c r="CO84" s="29"/>
      <c r="CP84" s="61">
        <f t="shared" si="338"/>
        <v>4.649196258893454E-3</v>
      </c>
      <c r="CQ84" s="62">
        <f t="shared" si="339"/>
        <v>4.1001525235556009E-3</v>
      </c>
      <c r="CR84" s="63">
        <f t="shared" si="340"/>
        <v>4.8004901191968609E-3</v>
      </c>
      <c r="CS84" s="61">
        <f t="shared" si="341"/>
        <v>6.3717009965022411E-3</v>
      </c>
      <c r="CU84" s="60">
        <f t="shared" si="207"/>
        <v>100</v>
      </c>
      <c r="CV84" s="132">
        <f t="shared" si="208"/>
        <v>86.281599596046064</v>
      </c>
      <c r="CW84" s="132">
        <f t="shared" si="209"/>
        <v>104.7439430921121</v>
      </c>
      <c r="CX84" s="131">
        <f t="shared" si="210"/>
        <v>139.73009283754322</v>
      </c>
    </row>
    <row r="85" spans="1:102">
      <c r="A85" s="29">
        <v>312</v>
      </c>
      <c r="B85" s="29" t="s">
        <v>5</v>
      </c>
      <c r="C85" s="55" t="s">
        <v>115</v>
      </c>
      <c r="D85" s="56">
        <v>0</v>
      </c>
      <c r="E85" s="57">
        <f>VLOOKUP(A85,AuxOPEXSaneparOriginal!$B$4:$F$177,3,0)</f>
        <v>919178.90999999992</v>
      </c>
      <c r="F85" s="156">
        <f>VLOOKUP(A85,AuxOPEXSaneparOriginal!$B$4:$F$177,4,0)</f>
        <v>1669836.3099999987</v>
      </c>
      <c r="G85" s="57">
        <f>VLOOKUP(A85,AuxOPEXSaneparOriginal!$B$4:$K$177,8,0)</f>
        <v>116877.62000000002</v>
      </c>
      <c r="H85" s="156">
        <f>VLOOKUP(A85,AuxOPEXSaneparOriginal!$B$4:$K$177,9,0)</f>
        <v>241621.28000000003</v>
      </c>
      <c r="I85" s="57">
        <f>VLOOKUP(A85,AuxOPEXSaneparOriginal!$B$4:$N$177,13,0)</f>
        <v>162712.72999999998</v>
      </c>
      <c r="J85" s="57">
        <f>VLOOKUP(A85,AuxOPEXSaneparOriginal!$B$4:$Q$177,16,0)</f>
        <v>32451357.720000003</v>
      </c>
      <c r="K85" s="57">
        <f>VLOOKUP(A85,AuxOPEXSaneparOriginal!$B$4:$V$177,21,0)</f>
        <v>0</v>
      </c>
      <c r="L85" s="157">
        <f t="shared" si="286"/>
        <v>35561584.57</v>
      </c>
      <c r="M85" s="19">
        <f>VLOOKUP(A85,AuxOPEXSaneparOriginal!$B$4:$AB$177,27,0)</f>
        <v>1761336.0999999999</v>
      </c>
      <c r="N85" s="156">
        <f>VLOOKUP(A85,AuxOPEXSaneparOriginal!$B$4:$AC$177,28,0)</f>
        <v>5052287.3600000013</v>
      </c>
      <c r="O85" s="156">
        <f>VLOOKUP(A85,AuxOPEXSaneparOriginal!$B$4:$AD$177,29,0)</f>
        <v>506802.24000000005</v>
      </c>
      <c r="P85" s="156">
        <f>VLOOKUP(A85,AuxOPEXSaneparOriginal!$B$4:$AE$177,30,0)</f>
        <v>476202.5400000001</v>
      </c>
      <c r="Q85" s="146">
        <f>VLOOKUP(A85,AuxOPEXSaneparOriginal!$B$4:$AF$177,31,0)</f>
        <v>1744739.7800000005</v>
      </c>
      <c r="R85" s="146">
        <f>VLOOKUP(A85,AuxOPEXSaneparOriginal!$B$4:$AG$177,32,0)</f>
        <v>27301167.839999996</v>
      </c>
      <c r="S85" s="146">
        <f>VLOOKUP(A85,AuxOPEXSaneparOriginal!$B$4:$AH$177,33,0)</f>
        <v>0</v>
      </c>
      <c r="T85" s="157">
        <f t="shared" si="287"/>
        <v>36842535.859999999</v>
      </c>
      <c r="U85" s="156">
        <f>VLOOKUP(A85,AuxOPEXSaneparOriginal!$B$4:$AI$177,34,0)</f>
        <v>1318277.19</v>
      </c>
      <c r="V85" s="156">
        <f>VLOOKUP(A85,AuxOPEXSaneparOriginal!$B$4:$AJ$177,35,0)</f>
        <v>314421.93000000017</v>
      </c>
      <c r="W85" s="156">
        <f>VLOOKUP(A85,AuxOPEXSaneparOriginal!$B$4:$AK$177,36,0)</f>
        <v>20533.63</v>
      </c>
      <c r="X85" s="19">
        <f>+VLOOKUP(A85,AuxOPEXSaneparOriginal!$B$4:$AL$177,37,0)</f>
        <v>246288.72999999998</v>
      </c>
      <c r="Y85" s="146">
        <f>VLOOKUP(A85,AuxOPEXSaneparOriginal!$B$4:$AM$177,38,0)</f>
        <v>114757.21</v>
      </c>
      <c r="Z85" s="146">
        <f>VLOOKUP(A85,AuxOPEXSaneparOriginal!$B$4:$AN$177,39,0)</f>
        <v>2224406.5900000008</v>
      </c>
      <c r="AA85" s="146">
        <f>VLOOKUP(A85,AuxOPEXSaneparOriginal!$B$4:$AO$177,40,0)</f>
        <v>0</v>
      </c>
      <c r="AB85" s="157">
        <f t="shared" si="288"/>
        <v>4238685.2800000012</v>
      </c>
      <c r="AC85" s="156">
        <f>VLOOKUP(A85,AuxOPEXSaneparOriginal!$B$4:$AP$177,41,0)</f>
        <v>1820208.73</v>
      </c>
      <c r="AD85" s="156">
        <f>+VLOOKUP(A85,AuxOPEXSaneparOriginal!$B$4:$AQ$177,42,0)</f>
        <v>40500.600000000006</v>
      </c>
      <c r="AE85" s="156">
        <f>VLOOKUP(A85,AuxOPEXSaneparOriginal!$B$4:$AR$177,43,0)</f>
        <v>2450</v>
      </c>
      <c r="AF85" s="156">
        <f>+VLOOKUP(A85,AuxOPEXSaneparOriginal!$B$4:$AS$177,44,0)</f>
        <v>149120.48000000001</v>
      </c>
      <c r="AG85" s="146">
        <f>VLOOKUP(A85,AuxOPEXSaneparOriginal!$B$4:$AT$177,45,0)</f>
        <v>111175.37000000013</v>
      </c>
      <c r="AH85" s="146">
        <f>VLOOKUP(A85,AuxOPEXSaneparOriginal!$B$4:$AU$177,46,0)</f>
        <v>1719040.2</v>
      </c>
      <c r="AI85" s="146">
        <f>VLOOKUP(A85,AuxOPEXSaneparOriginal!$B$4:$AV$177,47,0)</f>
        <v>0</v>
      </c>
      <c r="AJ85" s="157">
        <f t="shared" si="289"/>
        <v>3842495.38</v>
      </c>
      <c r="AK85" s="157">
        <f t="shared" si="205"/>
        <v>20121325.272500001</v>
      </c>
      <c r="AL85" s="157">
        <f t="shared" si="206"/>
        <v>4040590.3300000005</v>
      </c>
      <c r="AM85" s="144"/>
      <c r="AN85" s="167">
        <f t="shared" si="290"/>
        <v>919178.90999999992</v>
      </c>
      <c r="AO85" s="168">
        <f t="shared" si="291"/>
        <v>1669836.3099999987</v>
      </c>
      <c r="AP85" s="57">
        <f t="shared" si="292"/>
        <v>116877.62000000002</v>
      </c>
      <c r="AQ85" s="57">
        <f t="shared" si="293"/>
        <v>241621.28000000003</v>
      </c>
      <c r="AR85" s="57">
        <f t="shared" si="294"/>
        <v>162712.72999999998</v>
      </c>
      <c r="AS85" s="57">
        <f t="shared" si="295"/>
        <v>32451357.720000003</v>
      </c>
      <c r="AT85" s="57">
        <f t="shared" si="296"/>
        <v>0</v>
      </c>
      <c r="AU85" s="157">
        <f t="shared" si="297"/>
        <v>35561584.57</v>
      </c>
      <c r="AV85" s="57">
        <f t="shared" si="298"/>
        <v>1761336.0999999999</v>
      </c>
      <c r="AW85" s="57">
        <f t="shared" si="299"/>
        <v>5052287.3600000013</v>
      </c>
      <c r="AX85" s="57">
        <f t="shared" si="300"/>
        <v>506802.24000000005</v>
      </c>
      <c r="AY85" s="57">
        <f t="shared" si="301"/>
        <v>476202.5400000001</v>
      </c>
      <c r="AZ85" s="57">
        <f t="shared" si="302"/>
        <v>1744739.7800000005</v>
      </c>
      <c r="BA85" s="57">
        <f t="shared" si="303"/>
        <v>27301167.839999996</v>
      </c>
      <c r="BB85" s="57">
        <f t="shared" si="304"/>
        <v>0</v>
      </c>
      <c r="BC85" s="157">
        <f t="shared" si="305"/>
        <v>36842535.859999999</v>
      </c>
      <c r="BD85" s="57">
        <f t="shared" si="306"/>
        <v>1318277.19</v>
      </c>
      <c r="BE85" s="57">
        <f t="shared" si="307"/>
        <v>314421.93000000017</v>
      </c>
      <c r="BF85" s="57">
        <f t="shared" si="308"/>
        <v>20533.63</v>
      </c>
      <c r="BG85" s="57">
        <f t="shared" si="309"/>
        <v>246288.72999999998</v>
      </c>
      <c r="BH85" s="57">
        <f t="shared" si="310"/>
        <v>114757.21</v>
      </c>
      <c r="BI85" s="57">
        <f t="shared" si="311"/>
        <v>2224406.5900000008</v>
      </c>
      <c r="BJ85" s="57">
        <f t="shared" si="312"/>
        <v>0</v>
      </c>
      <c r="BK85" s="157">
        <f t="shared" si="313"/>
        <v>4238685.2800000012</v>
      </c>
      <c r="BL85" s="57">
        <f t="shared" si="314"/>
        <v>1820208.73</v>
      </c>
      <c r="BM85" s="57">
        <f t="shared" si="315"/>
        <v>40500.600000000006</v>
      </c>
      <c r="BN85" s="57">
        <f t="shared" si="316"/>
        <v>2450</v>
      </c>
      <c r="BO85" s="57">
        <f t="shared" si="317"/>
        <v>149120.48000000001</v>
      </c>
      <c r="BP85" s="57">
        <f t="shared" si="318"/>
        <v>111175.37000000013</v>
      </c>
      <c r="BQ85" s="57">
        <f t="shared" si="319"/>
        <v>1719040.2</v>
      </c>
      <c r="BR85" s="57">
        <f t="shared" si="320"/>
        <v>0</v>
      </c>
      <c r="BS85" s="157">
        <f t="shared" si="321"/>
        <v>3842495.38</v>
      </c>
      <c r="BT85" s="157">
        <f t="shared" si="73"/>
        <v>20121325.272500001</v>
      </c>
      <c r="BU85" s="157">
        <f t="shared" si="74"/>
        <v>4040590.3300000005</v>
      </c>
      <c r="BV85" s="144"/>
      <c r="BW85" s="158">
        <f t="shared" si="322"/>
        <v>35561584.57</v>
      </c>
      <c r="BX85" s="159">
        <f t="shared" si="323"/>
        <v>36842535.859999999</v>
      </c>
      <c r="BY85" s="159">
        <f t="shared" si="324"/>
        <v>4238685.2800000012</v>
      </c>
      <c r="BZ85" s="159">
        <f t="shared" si="325"/>
        <v>3842495.38</v>
      </c>
      <c r="CA85" s="158">
        <f t="shared" si="326"/>
        <v>20121325.272500001</v>
      </c>
      <c r="CB85" s="157">
        <f t="shared" si="327"/>
        <v>19900134.925000001</v>
      </c>
      <c r="CC85" s="144"/>
      <c r="CD85" s="158">
        <f t="shared" si="328"/>
        <v>40397529.776346698</v>
      </c>
      <c r="CE85" s="159">
        <f t="shared" si="329"/>
        <v>40225207.500210799</v>
      </c>
      <c r="CF85" s="159">
        <f t="shared" si="330"/>
        <v>4481107.9833505135</v>
      </c>
      <c r="CG85" s="159">
        <f t="shared" si="331"/>
        <v>3842495.38</v>
      </c>
      <c r="CH85" s="158">
        <f t="shared" si="332"/>
        <v>22236585.159977004</v>
      </c>
      <c r="CI85" s="157">
        <f t="shared" si="333"/>
        <v>22353157.741780654</v>
      </c>
      <c r="CK85" s="61">
        <f t="shared" si="334"/>
        <v>-4.2656636950311189E-3</v>
      </c>
      <c r="CL85" s="62">
        <f t="shared" si="335"/>
        <v>-0.88859950608515748</v>
      </c>
      <c r="CM85" s="63">
        <f t="shared" si="336"/>
        <v>-0.14251221031121519</v>
      </c>
      <c r="CN85" s="61">
        <f t="shared" si="337"/>
        <v>-0.90488291236436358</v>
      </c>
      <c r="CO85" s="29"/>
      <c r="CP85" s="61">
        <f t="shared" si="338"/>
        <v>1.7018057761658743E-2</v>
      </c>
      <c r="CQ85" s="62">
        <f t="shared" si="339"/>
        <v>1.7320380224357779E-2</v>
      </c>
      <c r="CR85" s="63">
        <f t="shared" si="340"/>
        <v>1.8608843120193209E-3</v>
      </c>
      <c r="CS85" s="61">
        <f t="shared" si="341"/>
        <v>1.587654862879572E-3</v>
      </c>
      <c r="CU85" s="60">
        <f t="shared" si="207"/>
        <v>100</v>
      </c>
      <c r="CV85" s="132">
        <f t="shared" si="208"/>
        <v>99.573433630496893</v>
      </c>
      <c r="CW85" s="132">
        <f t="shared" si="209"/>
        <v>11.092529687234151</v>
      </c>
      <c r="CX85" s="131">
        <f t="shared" si="210"/>
        <v>9.5117087635636413</v>
      </c>
    </row>
    <row r="86" spans="1:102">
      <c r="A86" s="29">
        <v>313</v>
      </c>
      <c r="B86" s="29" t="s">
        <v>5</v>
      </c>
      <c r="C86" s="55" t="s">
        <v>116</v>
      </c>
      <c r="D86" s="56">
        <v>0</v>
      </c>
      <c r="E86" s="57">
        <f>VLOOKUP(A86,AuxOPEXSaneparOriginal!$B$4:$F$177,3,0)</f>
        <v>0</v>
      </c>
      <c r="F86" s="156">
        <f>VLOOKUP(A86,AuxOPEXSaneparOriginal!$B$4:$F$177,4,0)</f>
        <v>0</v>
      </c>
      <c r="G86" s="57">
        <f>VLOOKUP(A86,AuxOPEXSaneparOriginal!$B$4:$K$177,8,0)</f>
        <v>0</v>
      </c>
      <c r="H86" s="156">
        <f>VLOOKUP(A86,AuxOPEXSaneparOriginal!$B$4:$K$177,9,0)</f>
        <v>0</v>
      </c>
      <c r="I86" s="57">
        <f>VLOOKUP(A86,AuxOPEXSaneparOriginal!$B$4:$N$177,13,0)</f>
        <v>0</v>
      </c>
      <c r="J86" s="57">
        <f>VLOOKUP(A86,AuxOPEXSaneparOriginal!$B$4:$Q$177,16,0)</f>
        <v>2554621.9500000002</v>
      </c>
      <c r="K86" s="57">
        <f>VLOOKUP(A86,AuxOPEXSaneparOriginal!$B$4:$V$177,21,0)</f>
        <v>0</v>
      </c>
      <c r="L86" s="157">
        <f t="shared" si="286"/>
        <v>2554621.9500000002</v>
      </c>
      <c r="M86" s="19">
        <f>VLOOKUP(A86,AuxOPEXSaneparOriginal!$B$4:$AB$177,27,0)</f>
        <v>0</v>
      </c>
      <c r="N86" s="156">
        <f>VLOOKUP(A86,AuxOPEXSaneparOriginal!$B$4:$AC$177,28,0)</f>
        <v>0</v>
      </c>
      <c r="O86" s="156">
        <f>VLOOKUP(A86,AuxOPEXSaneparOriginal!$B$4:$AD$177,29,0)</f>
        <v>0</v>
      </c>
      <c r="P86" s="156">
        <f>VLOOKUP(A86,AuxOPEXSaneparOriginal!$B$4:$AE$177,30,0)</f>
        <v>0</v>
      </c>
      <c r="Q86" s="146">
        <f>VLOOKUP(A86,AuxOPEXSaneparOriginal!$B$4:$AF$177,31,0)</f>
        <v>0</v>
      </c>
      <c r="R86" s="146">
        <f>VLOOKUP(A86,AuxOPEXSaneparOriginal!$B$4:$AG$177,32,0)</f>
        <v>1806978.33</v>
      </c>
      <c r="S86" s="146">
        <f>VLOOKUP(A86,AuxOPEXSaneparOriginal!$B$4:$AH$177,33,0)</f>
        <v>0</v>
      </c>
      <c r="T86" s="157">
        <f t="shared" si="287"/>
        <v>1806978.33</v>
      </c>
      <c r="U86" s="156">
        <f>VLOOKUP(A86,AuxOPEXSaneparOriginal!$B$4:$AI$177,34,0)</f>
        <v>0</v>
      </c>
      <c r="V86" s="156">
        <f>VLOOKUP(A86,AuxOPEXSaneparOriginal!$B$4:$AJ$177,35,0)</f>
        <v>0</v>
      </c>
      <c r="W86" s="156">
        <f>VLOOKUP(A86,AuxOPEXSaneparOriginal!$B$4:$AK$177,36,0)</f>
        <v>0</v>
      </c>
      <c r="X86" s="19">
        <f>+VLOOKUP(A86,AuxOPEXSaneparOriginal!$B$4:$AL$177,37,0)</f>
        <v>0</v>
      </c>
      <c r="Y86" s="146">
        <f>VLOOKUP(A86,AuxOPEXSaneparOriginal!$B$4:$AM$177,38,0)</f>
        <v>0</v>
      </c>
      <c r="Z86" s="146">
        <f>VLOOKUP(A86,AuxOPEXSaneparOriginal!$B$4:$AN$177,39,0)</f>
        <v>1523404.92</v>
      </c>
      <c r="AA86" s="146">
        <f>VLOOKUP(A86,AuxOPEXSaneparOriginal!$B$4:$AO$177,40,0)</f>
        <v>0</v>
      </c>
      <c r="AB86" s="157">
        <f t="shared" si="288"/>
        <v>1523404.92</v>
      </c>
      <c r="AC86" s="156">
        <f>VLOOKUP(A86,AuxOPEXSaneparOriginal!$B$4:$AP$177,41,0)</f>
        <v>0</v>
      </c>
      <c r="AD86" s="156">
        <f>+VLOOKUP(A86,AuxOPEXSaneparOriginal!$B$4:$AQ$177,42,0)</f>
        <v>0</v>
      </c>
      <c r="AE86" s="156">
        <f>VLOOKUP(A86,AuxOPEXSaneparOriginal!$B$4:$AR$177,43,0)</f>
        <v>0</v>
      </c>
      <c r="AF86" s="156">
        <f>+VLOOKUP(A86,AuxOPEXSaneparOriginal!$B$4:$AS$177,44,0)</f>
        <v>0</v>
      </c>
      <c r="AG86" s="146">
        <f>VLOOKUP(A86,AuxOPEXSaneparOriginal!$B$4:$AT$177,45,0)</f>
        <v>0</v>
      </c>
      <c r="AH86" s="146">
        <f>VLOOKUP(A86,AuxOPEXSaneparOriginal!$B$4:$AU$177,46,0)</f>
        <v>1603269.14</v>
      </c>
      <c r="AI86" s="146">
        <f>VLOOKUP(A86,AuxOPEXSaneparOriginal!$B$4:$AV$177,47,0)</f>
        <v>0</v>
      </c>
      <c r="AJ86" s="157">
        <f t="shared" si="289"/>
        <v>1603269.14</v>
      </c>
      <c r="AK86" s="157">
        <f t="shared" si="205"/>
        <v>1872068.585</v>
      </c>
      <c r="AL86" s="157">
        <f t="shared" si="206"/>
        <v>1563337.0299999998</v>
      </c>
      <c r="AM86" s="144"/>
      <c r="AN86" s="167">
        <f t="shared" si="290"/>
        <v>0</v>
      </c>
      <c r="AO86" s="168">
        <f t="shared" si="291"/>
        <v>0</v>
      </c>
      <c r="AP86" s="57">
        <f t="shared" si="292"/>
        <v>0</v>
      </c>
      <c r="AQ86" s="57">
        <f t="shared" si="293"/>
        <v>0</v>
      </c>
      <c r="AR86" s="57">
        <f t="shared" si="294"/>
        <v>0</v>
      </c>
      <c r="AS86" s="57">
        <f t="shared" si="295"/>
        <v>2554621.9500000002</v>
      </c>
      <c r="AT86" s="57">
        <f t="shared" si="296"/>
        <v>0</v>
      </c>
      <c r="AU86" s="157">
        <f t="shared" si="297"/>
        <v>2554621.9500000002</v>
      </c>
      <c r="AV86" s="57">
        <f t="shared" si="298"/>
        <v>0</v>
      </c>
      <c r="AW86" s="57">
        <f t="shared" si="299"/>
        <v>0</v>
      </c>
      <c r="AX86" s="57">
        <f t="shared" si="300"/>
        <v>0</v>
      </c>
      <c r="AY86" s="57">
        <f t="shared" si="301"/>
        <v>0</v>
      </c>
      <c r="AZ86" s="57">
        <f t="shared" si="302"/>
        <v>0</v>
      </c>
      <c r="BA86" s="57">
        <f t="shared" si="303"/>
        <v>1806978.33</v>
      </c>
      <c r="BB86" s="57">
        <f t="shared" si="304"/>
        <v>0</v>
      </c>
      <c r="BC86" s="157">
        <f t="shared" si="305"/>
        <v>1806978.33</v>
      </c>
      <c r="BD86" s="57">
        <f t="shared" si="306"/>
        <v>0</v>
      </c>
      <c r="BE86" s="57">
        <f t="shared" si="307"/>
        <v>0</v>
      </c>
      <c r="BF86" s="57">
        <f t="shared" si="308"/>
        <v>0</v>
      </c>
      <c r="BG86" s="57">
        <f t="shared" si="309"/>
        <v>0</v>
      </c>
      <c r="BH86" s="57">
        <f t="shared" si="310"/>
        <v>0</v>
      </c>
      <c r="BI86" s="57">
        <f t="shared" si="311"/>
        <v>1523404.92</v>
      </c>
      <c r="BJ86" s="57">
        <f t="shared" si="312"/>
        <v>0</v>
      </c>
      <c r="BK86" s="157">
        <f t="shared" si="313"/>
        <v>1523404.92</v>
      </c>
      <c r="BL86" s="57">
        <f t="shared" si="314"/>
        <v>0</v>
      </c>
      <c r="BM86" s="57">
        <f t="shared" si="315"/>
        <v>0</v>
      </c>
      <c r="BN86" s="57">
        <f t="shared" si="316"/>
        <v>0</v>
      </c>
      <c r="BO86" s="57">
        <f t="shared" si="317"/>
        <v>0</v>
      </c>
      <c r="BP86" s="57">
        <f t="shared" si="318"/>
        <v>0</v>
      </c>
      <c r="BQ86" s="57">
        <f t="shared" si="319"/>
        <v>1603269.14</v>
      </c>
      <c r="BR86" s="57">
        <f t="shared" si="320"/>
        <v>0</v>
      </c>
      <c r="BS86" s="157">
        <f t="shared" si="321"/>
        <v>1603269.14</v>
      </c>
      <c r="BT86" s="157">
        <f t="shared" si="73"/>
        <v>1872068.585</v>
      </c>
      <c r="BU86" s="157">
        <f t="shared" si="74"/>
        <v>1563337.0299999998</v>
      </c>
      <c r="BV86" s="144"/>
      <c r="BW86" s="158">
        <f t="shared" si="322"/>
        <v>2554621.9500000002</v>
      </c>
      <c r="BX86" s="159">
        <f t="shared" si="323"/>
        <v>1806978.33</v>
      </c>
      <c r="BY86" s="159">
        <f t="shared" si="324"/>
        <v>1523404.92</v>
      </c>
      <c r="BZ86" s="159">
        <f t="shared" si="325"/>
        <v>1603269.14</v>
      </c>
      <c r="CA86" s="158">
        <f t="shared" si="326"/>
        <v>1872068.585</v>
      </c>
      <c r="CB86" s="157">
        <f t="shared" si="327"/>
        <v>1705123.7349999999</v>
      </c>
      <c r="CC86" s="144"/>
      <c r="CD86" s="158">
        <f t="shared" si="328"/>
        <v>2902019.6242744052</v>
      </c>
      <c r="CE86" s="159">
        <f t="shared" si="329"/>
        <v>1972884.7804841192</v>
      </c>
      <c r="CF86" s="159">
        <f t="shared" si="330"/>
        <v>1610532.865249068</v>
      </c>
      <c r="CG86" s="159">
        <f t="shared" si="331"/>
        <v>1603269.14</v>
      </c>
      <c r="CH86" s="158">
        <f t="shared" si="332"/>
        <v>2022176.6025018978</v>
      </c>
      <c r="CI86" s="157">
        <f t="shared" si="333"/>
        <v>1791708.8228665935</v>
      </c>
      <c r="CK86" s="61">
        <f t="shared" si="334"/>
        <v>-0.3201683531077425</v>
      </c>
      <c r="CL86" s="62">
        <f t="shared" si="335"/>
        <v>-0.18366602997775416</v>
      </c>
      <c r="CM86" s="63">
        <f t="shared" si="336"/>
        <v>-4.5101378592139474E-3</v>
      </c>
      <c r="CN86" s="61">
        <f t="shared" si="337"/>
        <v>-0.44753332245268096</v>
      </c>
      <c r="CO86" s="29"/>
      <c r="CP86" s="61">
        <f t="shared" si="338"/>
        <v>1.2225187496559661E-3</v>
      </c>
      <c r="CQ86" s="62">
        <f t="shared" si="339"/>
        <v>8.4949504702131124E-4</v>
      </c>
      <c r="CR86" s="63">
        <f t="shared" si="340"/>
        <v>6.6881123018433855E-4</v>
      </c>
      <c r="CS86" s="61">
        <f t="shared" si="341"/>
        <v>6.6244400965961587E-4</v>
      </c>
      <c r="CU86" s="60">
        <f t="shared" si="207"/>
        <v>100</v>
      </c>
      <c r="CV86" s="132">
        <f t="shared" si="208"/>
        <v>67.983164689225745</v>
      </c>
      <c r="CW86" s="132">
        <f t="shared" si="209"/>
        <v>55.496966725431818</v>
      </c>
      <c r="CX86" s="131">
        <f t="shared" si="210"/>
        <v>55.246667754731902</v>
      </c>
    </row>
    <row r="87" spans="1:102">
      <c r="A87" s="29">
        <v>314</v>
      </c>
      <c r="B87" s="29" t="s">
        <v>5</v>
      </c>
      <c r="C87" s="55" t="s">
        <v>117</v>
      </c>
      <c r="D87" s="56">
        <v>0</v>
      </c>
      <c r="E87" s="57">
        <f>VLOOKUP(A87,AuxOPEXSaneparOriginal!$B$4:$F$177,3,0)</f>
        <v>667.04</v>
      </c>
      <c r="F87" s="156">
        <f>VLOOKUP(A87,AuxOPEXSaneparOriginal!$B$4:$F$177,4,0)</f>
        <v>0</v>
      </c>
      <c r="G87" s="57">
        <f>VLOOKUP(A87,AuxOPEXSaneparOriginal!$B$4:$K$177,8,0)</f>
        <v>556.14</v>
      </c>
      <c r="H87" s="156">
        <f>VLOOKUP(A87,AuxOPEXSaneparOriginal!$B$4:$K$177,9,0)</f>
        <v>12909.15</v>
      </c>
      <c r="I87" s="57">
        <f>VLOOKUP(A87,AuxOPEXSaneparOriginal!$B$4:$N$177,13,0)</f>
        <v>0</v>
      </c>
      <c r="J87" s="57">
        <f>VLOOKUP(A87,AuxOPEXSaneparOriginal!$B$4:$Q$177,16,0)</f>
        <v>444985.25</v>
      </c>
      <c r="K87" s="57">
        <f>VLOOKUP(A87,AuxOPEXSaneparOriginal!$B$4:$V$177,21,0)</f>
        <v>0</v>
      </c>
      <c r="L87" s="157">
        <f t="shared" si="286"/>
        <v>459117.58</v>
      </c>
      <c r="M87" s="19">
        <f>VLOOKUP(A87,AuxOPEXSaneparOriginal!$B$4:$AB$177,27,0)</f>
        <v>0</v>
      </c>
      <c r="N87" s="156">
        <f>VLOOKUP(A87,AuxOPEXSaneparOriginal!$B$4:$AC$177,28,0)</f>
        <v>0</v>
      </c>
      <c r="O87" s="156">
        <f>VLOOKUP(A87,AuxOPEXSaneparOriginal!$B$4:$AD$177,29,0)</f>
        <v>0</v>
      </c>
      <c r="P87" s="156">
        <f>VLOOKUP(A87,AuxOPEXSaneparOriginal!$B$4:$AE$177,30,0)</f>
        <v>0</v>
      </c>
      <c r="Q87" s="146">
        <f>VLOOKUP(A87,AuxOPEXSaneparOriginal!$B$4:$AF$177,31,0)</f>
        <v>214</v>
      </c>
      <c r="R87" s="146">
        <f>VLOOKUP(A87,AuxOPEXSaneparOriginal!$B$4:$AG$177,32,0)</f>
        <v>542661.93000000005</v>
      </c>
      <c r="S87" s="146">
        <f>VLOOKUP(A87,AuxOPEXSaneparOriginal!$B$4:$AH$177,33,0)</f>
        <v>0</v>
      </c>
      <c r="T87" s="157">
        <f t="shared" si="287"/>
        <v>542875.93000000005</v>
      </c>
      <c r="U87" s="156">
        <f>VLOOKUP(A87,AuxOPEXSaneparOriginal!$B$4:$AI$177,34,0)</f>
        <v>0</v>
      </c>
      <c r="V87" s="156">
        <f>VLOOKUP(A87,AuxOPEXSaneparOriginal!$B$4:$AJ$177,35,0)</f>
        <v>390.62</v>
      </c>
      <c r="W87" s="156">
        <f>VLOOKUP(A87,AuxOPEXSaneparOriginal!$B$4:$AK$177,36,0)</f>
        <v>0</v>
      </c>
      <c r="X87" s="19">
        <f>+VLOOKUP(A87,AuxOPEXSaneparOriginal!$B$4:$AL$177,37,0)</f>
        <v>0</v>
      </c>
      <c r="Y87" s="146">
        <f>VLOOKUP(A87,AuxOPEXSaneparOriginal!$B$4:$AM$177,38,0)</f>
        <v>132.01</v>
      </c>
      <c r="Z87" s="146">
        <f>VLOOKUP(A87,AuxOPEXSaneparOriginal!$B$4:$AN$177,39,0)</f>
        <v>260624.85000000003</v>
      </c>
      <c r="AA87" s="146">
        <f>VLOOKUP(A87,AuxOPEXSaneparOriginal!$B$4:$AO$177,40,0)</f>
        <v>0</v>
      </c>
      <c r="AB87" s="157">
        <f t="shared" si="288"/>
        <v>261147.48000000004</v>
      </c>
      <c r="AC87" s="156">
        <f>VLOOKUP(A87,AuxOPEXSaneparOriginal!$B$4:$AP$177,41,0)</f>
        <v>0</v>
      </c>
      <c r="AD87" s="156">
        <f>+VLOOKUP(A87,AuxOPEXSaneparOriginal!$B$4:$AQ$177,42,0)</f>
        <v>0</v>
      </c>
      <c r="AE87" s="156">
        <f>VLOOKUP(A87,AuxOPEXSaneparOriginal!$B$4:$AR$177,43,0)</f>
        <v>0</v>
      </c>
      <c r="AF87" s="156">
        <f>+VLOOKUP(A87,AuxOPEXSaneparOriginal!$B$4:$AS$177,44,0)</f>
        <v>0</v>
      </c>
      <c r="AG87" s="146">
        <f>VLOOKUP(A87,AuxOPEXSaneparOriginal!$B$4:$AT$177,45,0)</f>
        <v>726</v>
      </c>
      <c r="AH87" s="146">
        <f>VLOOKUP(A87,AuxOPEXSaneparOriginal!$B$4:$AU$177,46,0)</f>
        <v>58679.96</v>
      </c>
      <c r="AI87" s="146">
        <f>VLOOKUP(A87,AuxOPEXSaneparOriginal!$B$4:$AV$177,47,0)</f>
        <v>0</v>
      </c>
      <c r="AJ87" s="157">
        <f t="shared" si="289"/>
        <v>59405.96</v>
      </c>
      <c r="AK87" s="157">
        <f t="shared" si="205"/>
        <v>330636.73750000005</v>
      </c>
      <c r="AL87" s="157">
        <f t="shared" si="206"/>
        <v>160276.72000000003</v>
      </c>
      <c r="AM87" s="144"/>
      <c r="AN87" s="167">
        <f t="shared" si="290"/>
        <v>667.04</v>
      </c>
      <c r="AO87" s="168">
        <f t="shared" si="291"/>
        <v>0</v>
      </c>
      <c r="AP87" s="57">
        <f t="shared" si="292"/>
        <v>556.14</v>
      </c>
      <c r="AQ87" s="57">
        <f t="shared" si="293"/>
        <v>12909.15</v>
      </c>
      <c r="AR87" s="57">
        <f t="shared" si="294"/>
        <v>0</v>
      </c>
      <c r="AS87" s="57">
        <f t="shared" si="295"/>
        <v>444985.25</v>
      </c>
      <c r="AT87" s="57">
        <f t="shared" si="296"/>
        <v>0</v>
      </c>
      <c r="AU87" s="157">
        <f t="shared" si="297"/>
        <v>459117.58</v>
      </c>
      <c r="AV87" s="57">
        <f t="shared" si="298"/>
        <v>0</v>
      </c>
      <c r="AW87" s="57">
        <f t="shared" si="299"/>
        <v>0</v>
      </c>
      <c r="AX87" s="57">
        <f t="shared" si="300"/>
        <v>0</v>
      </c>
      <c r="AY87" s="57">
        <f t="shared" si="301"/>
        <v>0</v>
      </c>
      <c r="AZ87" s="57">
        <f t="shared" si="302"/>
        <v>214</v>
      </c>
      <c r="BA87" s="57">
        <f t="shared" si="303"/>
        <v>542661.93000000005</v>
      </c>
      <c r="BB87" s="57">
        <f t="shared" si="304"/>
        <v>0</v>
      </c>
      <c r="BC87" s="157">
        <f t="shared" si="305"/>
        <v>542875.93000000005</v>
      </c>
      <c r="BD87" s="57">
        <f t="shared" si="306"/>
        <v>0</v>
      </c>
      <c r="BE87" s="57">
        <f t="shared" si="307"/>
        <v>390.62</v>
      </c>
      <c r="BF87" s="57">
        <f t="shared" si="308"/>
        <v>0</v>
      </c>
      <c r="BG87" s="57">
        <f t="shared" si="309"/>
        <v>0</v>
      </c>
      <c r="BH87" s="57">
        <f t="shared" si="310"/>
        <v>132.01</v>
      </c>
      <c r="BI87" s="57">
        <f t="shared" si="311"/>
        <v>260624.85000000003</v>
      </c>
      <c r="BJ87" s="57">
        <f t="shared" si="312"/>
        <v>0</v>
      </c>
      <c r="BK87" s="157">
        <f t="shared" si="313"/>
        <v>261147.48000000004</v>
      </c>
      <c r="BL87" s="57">
        <f t="shared" si="314"/>
        <v>0</v>
      </c>
      <c r="BM87" s="57">
        <f t="shared" si="315"/>
        <v>0</v>
      </c>
      <c r="BN87" s="57">
        <f t="shared" si="316"/>
        <v>0</v>
      </c>
      <c r="BO87" s="57">
        <f t="shared" si="317"/>
        <v>0</v>
      </c>
      <c r="BP87" s="57">
        <f t="shared" si="318"/>
        <v>726</v>
      </c>
      <c r="BQ87" s="57">
        <f t="shared" si="319"/>
        <v>58679.96</v>
      </c>
      <c r="BR87" s="57">
        <f t="shared" si="320"/>
        <v>0</v>
      </c>
      <c r="BS87" s="157">
        <f t="shared" si="321"/>
        <v>59405.96</v>
      </c>
      <c r="BT87" s="157">
        <f t="shared" si="73"/>
        <v>330636.73750000005</v>
      </c>
      <c r="BU87" s="157">
        <f t="shared" si="74"/>
        <v>160276.72000000003</v>
      </c>
      <c r="BV87" s="144"/>
      <c r="BW87" s="158">
        <f t="shared" si="322"/>
        <v>459117.58</v>
      </c>
      <c r="BX87" s="159">
        <f t="shared" si="323"/>
        <v>542875.93000000005</v>
      </c>
      <c r="BY87" s="159">
        <f t="shared" si="324"/>
        <v>261147.48000000004</v>
      </c>
      <c r="BZ87" s="159">
        <f t="shared" si="325"/>
        <v>59405.96</v>
      </c>
      <c r="CA87" s="158">
        <f t="shared" si="326"/>
        <v>330636.73749999999</v>
      </c>
      <c r="CB87" s="157">
        <f t="shared" si="327"/>
        <v>360132.53</v>
      </c>
      <c r="CC87" s="144"/>
      <c r="CD87" s="158">
        <f t="shared" si="328"/>
        <v>521552.01555728196</v>
      </c>
      <c r="CE87" s="159">
        <f t="shared" si="329"/>
        <v>592719.70349979901</v>
      </c>
      <c r="CF87" s="159">
        <f t="shared" si="330"/>
        <v>276083.26170889207</v>
      </c>
      <c r="CG87" s="159">
        <f t="shared" si="331"/>
        <v>59405.96</v>
      </c>
      <c r="CH87" s="158">
        <f t="shared" si="332"/>
        <v>362440.2351914933</v>
      </c>
      <c r="CI87" s="157">
        <f t="shared" si="333"/>
        <v>398817.63863308704</v>
      </c>
      <c r="CK87" s="61">
        <f t="shared" si="334"/>
        <v>0.1364536725382488</v>
      </c>
      <c r="CL87" s="62">
        <f t="shared" si="335"/>
        <v>-0.53420940778800063</v>
      </c>
      <c r="CM87" s="63">
        <f t="shared" si="336"/>
        <v>-0.78482592667048801</v>
      </c>
      <c r="CN87" s="61">
        <f t="shared" si="337"/>
        <v>-0.8860977271144771</v>
      </c>
      <c r="CO87" s="29"/>
      <c r="CP87" s="61">
        <f t="shared" si="338"/>
        <v>2.1971151146128409E-4</v>
      </c>
      <c r="CQ87" s="62">
        <f t="shared" si="339"/>
        <v>2.5521634987293293E-4</v>
      </c>
      <c r="CR87" s="63">
        <f t="shared" si="340"/>
        <v>1.1464999558905192E-4</v>
      </c>
      <c r="CS87" s="61">
        <f t="shared" si="341"/>
        <v>2.4545549688606092E-5</v>
      </c>
      <c r="CU87" s="60">
        <f t="shared" si="207"/>
        <v>100</v>
      </c>
      <c r="CV87" s="132">
        <f t="shared" si="208"/>
        <v>113.64536725382489</v>
      </c>
      <c r="CW87" s="132">
        <f t="shared" si="209"/>
        <v>52.934942915309257</v>
      </c>
      <c r="CX87" s="131">
        <f t="shared" si="210"/>
        <v>11.390227288552287</v>
      </c>
    </row>
    <row r="88" spans="1:102">
      <c r="A88" s="29">
        <v>315</v>
      </c>
      <c r="B88" s="29" t="s">
        <v>5</v>
      </c>
      <c r="C88" s="55" t="s">
        <v>118</v>
      </c>
      <c r="D88" s="56">
        <v>0</v>
      </c>
      <c r="E88" s="57">
        <f>VLOOKUP(A88,AuxOPEXSaneparOriginal!$B$4:$F$177,3,0)</f>
        <v>0</v>
      </c>
      <c r="F88" s="156">
        <f>VLOOKUP(A88,AuxOPEXSaneparOriginal!$B$4:$F$177,4,0)</f>
        <v>0</v>
      </c>
      <c r="G88" s="57">
        <f>VLOOKUP(A88,AuxOPEXSaneparOriginal!$B$4:$K$177,8,0)</f>
        <v>0</v>
      </c>
      <c r="H88" s="156">
        <f>VLOOKUP(A88,AuxOPEXSaneparOriginal!$B$4:$K$177,9,0)</f>
        <v>0</v>
      </c>
      <c r="I88" s="57">
        <f>VLOOKUP(A88,AuxOPEXSaneparOriginal!$B$4:$N$177,13,0)</f>
        <v>37808963.949999973</v>
      </c>
      <c r="J88" s="57">
        <f>VLOOKUP(A88,AuxOPEXSaneparOriginal!$B$4:$Q$177,16,0)</f>
        <v>760578.6399999999</v>
      </c>
      <c r="K88" s="57">
        <f>VLOOKUP(A88,AuxOPEXSaneparOriginal!$B$4:$V$177,21,0)</f>
        <v>0</v>
      </c>
      <c r="L88" s="157">
        <f t="shared" si="286"/>
        <v>38569542.589999974</v>
      </c>
      <c r="M88" s="19">
        <f>VLOOKUP(A88,AuxOPEXSaneparOriginal!$B$4:$AB$177,27,0)</f>
        <v>0</v>
      </c>
      <c r="N88" s="156">
        <f>VLOOKUP(A88,AuxOPEXSaneparOriginal!$B$4:$AC$177,28,0)</f>
        <v>0</v>
      </c>
      <c r="O88" s="156">
        <f>VLOOKUP(A88,AuxOPEXSaneparOriginal!$B$4:$AD$177,29,0)</f>
        <v>0</v>
      </c>
      <c r="P88" s="156">
        <f>VLOOKUP(A88,AuxOPEXSaneparOriginal!$B$4:$AE$177,30,0)</f>
        <v>0</v>
      </c>
      <c r="Q88" s="146">
        <f>VLOOKUP(A88,AuxOPEXSaneparOriginal!$B$4:$AF$177,31,0)</f>
        <v>40771813.609999955</v>
      </c>
      <c r="R88" s="146">
        <f>VLOOKUP(A88,AuxOPEXSaneparOriginal!$B$4:$AG$177,32,0)</f>
        <v>828184.48999999987</v>
      </c>
      <c r="S88" s="146">
        <f>VLOOKUP(A88,AuxOPEXSaneparOriginal!$B$4:$AH$177,33,0)</f>
        <v>0</v>
      </c>
      <c r="T88" s="157">
        <f t="shared" si="287"/>
        <v>41599998.099999957</v>
      </c>
      <c r="U88" s="156">
        <f>VLOOKUP(A88,AuxOPEXSaneparOriginal!$B$4:$AI$177,34,0)</f>
        <v>0</v>
      </c>
      <c r="V88" s="156">
        <f>VLOOKUP(A88,AuxOPEXSaneparOriginal!$B$4:$AJ$177,35,0)</f>
        <v>0</v>
      </c>
      <c r="W88" s="156">
        <f>VLOOKUP(A88,AuxOPEXSaneparOriginal!$B$4:$AK$177,36,0)</f>
        <v>0</v>
      </c>
      <c r="X88" s="19">
        <f>+VLOOKUP(A88,AuxOPEXSaneparOriginal!$B$4:$AL$177,37,0)</f>
        <v>0</v>
      </c>
      <c r="Y88" s="146">
        <f>VLOOKUP(A88,AuxOPEXSaneparOriginal!$B$4:$AM$177,38,0)</f>
        <v>43140673.839999996</v>
      </c>
      <c r="Z88" s="146">
        <f>VLOOKUP(A88,AuxOPEXSaneparOriginal!$B$4:$AN$177,39,0)</f>
        <v>536183.03</v>
      </c>
      <c r="AA88" s="146">
        <f>VLOOKUP(A88,AuxOPEXSaneparOriginal!$B$4:$AO$177,40,0)</f>
        <v>0</v>
      </c>
      <c r="AB88" s="157">
        <f t="shared" si="288"/>
        <v>43676856.869999997</v>
      </c>
      <c r="AC88" s="156">
        <f>VLOOKUP(A88,AuxOPEXSaneparOriginal!$B$4:$AP$177,41,0)</f>
        <v>0</v>
      </c>
      <c r="AD88" s="156">
        <f>+VLOOKUP(A88,AuxOPEXSaneparOriginal!$B$4:$AQ$177,42,0)</f>
        <v>0</v>
      </c>
      <c r="AE88" s="156">
        <f>VLOOKUP(A88,AuxOPEXSaneparOriginal!$B$4:$AR$177,43,0)</f>
        <v>0</v>
      </c>
      <c r="AF88" s="156">
        <f>+VLOOKUP(A88,AuxOPEXSaneparOriginal!$B$4:$AS$177,44,0)</f>
        <v>0</v>
      </c>
      <c r="AG88" s="146">
        <f>VLOOKUP(A88,AuxOPEXSaneparOriginal!$B$4:$AT$177,45,0)</f>
        <v>29041619.419999987</v>
      </c>
      <c r="AH88" s="146">
        <f>VLOOKUP(A88,AuxOPEXSaneparOriginal!$B$4:$AU$177,46,0)</f>
        <v>289313.56</v>
      </c>
      <c r="AI88" s="146">
        <f>VLOOKUP(A88,AuxOPEXSaneparOriginal!$B$4:$AV$177,47,0)</f>
        <v>0</v>
      </c>
      <c r="AJ88" s="157">
        <f t="shared" si="289"/>
        <v>29330932.979999986</v>
      </c>
      <c r="AK88" s="157">
        <f t="shared" si="205"/>
        <v>38294332.634999976</v>
      </c>
      <c r="AL88" s="157">
        <f t="shared" si="206"/>
        <v>36503894.92499999</v>
      </c>
      <c r="AM88" s="144"/>
      <c r="AN88" s="167">
        <f t="shared" si="290"/>
        <v>0</v>
      </c>
      <c r="AO88" s="168">
        <f t="shared" si="291"/>
        <v>0</v>
      </c>
      <c r="AP88" s="57">
        <f t="shared" si="292"/>
        <v>0</v>
      </c>
      <c r="AQ88" s="57">
        <f t="shared" si="293"/>
        <v>0</v>
      </c>
      <c r="AR88" s="57">
        <f t="shared" si="294"/>
        <v>37808963.949999973</v>
      </c>
      <c r="AS88" s="57">
        <f t="shared" si="295"/>
        <v>760578.6399999999</v>
      </c>
      <c r="AT88" s="57">
        <f t="shared" si="296"/>
        <v>0</v>
      </c>
      <c r="AU88" s="157">
        <f t="shared" si="297"/>
        <v>38569542.589999974</v>
      </c>
      <c r="AV88" s="57">
        <f t="shared" si="298"/>
        <v>0</v>
      </c>
      <c r="AW88" s="57">
        <f t="shared" si="299"/>
        <v>0</v>
      </c>
      <c r="AX88" s="57">
        <f t="shared" si="300"/>
        <v>0</v>
      </c>
      <c r="AY88" s="57">
        <f t="shared" si="301"/>
        <v>0</v>
      </c>
      <c r="AZ88" s="57">
        <f t="shared" si="302"/>
        <v>40771813.609999955</v>
      </c>
      <c r="BA88" s="57">
        <f t="shared" si="303"/>
        <v>828184.48999999987</v>
      </c>
      <c r="BB88" s="57">
        <f t="shared" si="304"/>
        <v>0</v>
      </c>
      <c r="BC88" s="157">
        <f t="shared" si="305"/>
        <v>41599998.099999957</v>
      </c>
      <c r="BD88" s="57">
        <f t="shared" si="306"/>
        <v>0</v>
      </c>
      <c r="BE88" s="57">
        <f t="shared" si="307"/>
        <v>0</v>
      </c>
      <c r="BF88" s="57">
        <f t="shared" si="308"/>
        <v>0</v>
      </c>
      <c r="BG88" s="57">
        <f t="shared" si="309"/>
        <v>0</v>
      </c>
      <c r="BH88" s="57">
        <f t="shared" si="310"/>
        <v>43140673.839999996</v>
      </c>
      <c r="BI88" s="57">
        <f t="shared" si="311"/>
        <v>536183.03</v>
      </c>
      <c r="BJ88" s="57">
        <f t="shared" si="312"/>
        <v>0</v>
      </c>
      <c r="BK88" s="157">
        <f t="shared" si="313"/>
        <v>43676856.869999997</v>
      </c>
      <c r="BL88" s="57">
        <f t="shared" si="314"/>
        <v>0</v>
      </c>
      <c r="BM88" s="57">
        <f t="shared" si="315"/>
        <v>0</v>
      </c>
      <c r="BN88" s="57">
        <f t="shared" si="316"/>
        <v>0</v>
      </c>
      <c r="BO88" s="57">
        <f t="shared" si="317"/>
        <v>0</v>
      </c>
      <c r="BP88" s="57">
        <f t="shared" si="318"/>
        <v>29041619.419999987</v>
      </c>
      <c r="BQ88" s="57">
        <f t="shared" si="319"/>
        <v>289313.56</v>
      </c>
      <c r="BR88" s="57">
        <f t="shared" si="320"/>
        <v>0</v>
      </c>
      <c r="BS88" s="157">
        <f t="shared" si="321"/>
        <v>29330932.979999986</v>
      </c>
      <c r="BT88" s="157">
        <f t="shared" si="73"/>
        <v>38294332.634999976</v>
      </c>
      <c r="BU88" s="157">
        <f t="shared" si="74"/>
        <v>36503894.92499999</v>
      </c>
      <c r="BV88" s="144"/>
      <c r="BW88" s="158">
        <f t="shared" si="322"/>
        <v>38569542.589999974</v>
      </c>
      <c r="BX88" s="159">
        <f t="shared" si="323"/>
        <v>41599998.099999957</v>
      </c>
      <c r="BY88" s="159">
        <f t="shared" si="324"/>
        <v>43676856.869999997</v>
      </c>
      <c r="BZ88" s="159">
        <f t="shared" si="325"/>
        <v>29330932.979999986</v>
      </c>
      <c r="CA88" s="158">
        <f t="shared" si="326"/>
        <v>38294332.634999983</v>
      </c>
      <c r="CB88" s="157">
        <f t="shared" si="327"/>
        <v>40084770.344999969</v>
      </c>
      <c r="CC88" s="144"/>
      <c r="CD88" s="158">
        <f t="shared" si="328"/>
        <v>43814533.690774627</v>
      </c>
      <c r="CE88" s="159">
        <f t="shared" si="329"/>
        <v>45419472.805552781</v>
      </c>
      <c r="CF88" s="159">
        <f t="shared" si="330"/>
        <v>46174862.977280222</v>
      </c>
      <c r="CG88" s="159">
        <f t="shared" si="331"/>
        <v>29330932.979999986</v>
      </c>
      <c r="CH88" s="158">
        <f t="shared" si="332"/>
        <v>41184950.613401905</v>
      </c>
      <c r="CI88" s="157">
        <f t="shared" si="333"/>
        <v>44617003.2481637</v>
      </c>
      <c r="CK88" s="61">
        <f t="shared" si="334"/>
        <v>3.6630290900849571E-2</v>
      </c>
      <c r="CL88" s="62">
        <f t="shared" si="335"/>
        <v>1.6631416550372036E-2</v>
      </c>
      <c r="CM88" s="63">
        <f t="shared" si="336"/>
        <v>-0.36478570614423023</v>
      </c>
      <c r="CN88" s="61">
        <f t="shared" si="337"/>
        <v>-0.33056612705259114</v>
      </c>
      <c r="CO88" s="29"/>
      <c r="CP88" s="61">
        <f t="shared" si="338"/>
        <v>1.8457521271172547E-2</v>
      </c>
      <c r="CQ88" s="62">
        <f t="shared" si="339"/>
        <v>1.9556954145679165E-2</v>
      </c>
      <c r="CR88" s="63">
        <f t="shared" si="340"/>
        <v>1.917518578961264E-2</v>
      </c>
      <c r="CS88" s="61">
        <f t="shared" si="341"/>
        <v>1.211905123448497E-2</v>
      </c>
      <c r="CU88" s="60">
        <f t="shared" si="207"/>
        <v>100</v>
      </c>
      <c r="CV88" s="132">
        <f t="shared" si="208"/>
        <v>103.66302909008496</v>
      </c>
      <c r="CW88" s="132">
        <f t="shared" si="209"/>
        <v>105.38709210775549</v>
      </c>
      <c r="CX88" s="131">
        <f t="shared" si="210"/>
        <v>66.943387294740887</v>
      </c>
    </row>
    <row r="89" spans="1:102">
      <c r="A89" s="29">
        <v>316</v>
      </c>
      <c r="B89" s="29" t="s">
        <v>5</v>
      </c>
      <c r="C89" s="55" t="s">
        <v>119</v>
      </c>
      <c r="D89" s="56">
        <v>0</v>
      </c>
      <c r="E89" s="57">
        <f>VLOOKUP(A89,AuxOPEXSaneparOriginal!$B$4:$F$177,3,0)</f>
        <v>32228.65</v>
      </c>
      <c r="F89" s="156">
        <f>VLOOKUP(A89,AuxOPEXSaneparOriginal!$B$4:$F$177,4,0)</f>
        <v>380</v>
      </c>
      <c r="G89" s="57">
        <f>VLOOKUP(A89,AuxOPEXSaneparOriginal!$B$4:$K$177,8,0)</f>
        <v>199.5</v>
      </c>
      <c r="H89" s="156">
        <f>VLOOKUP(A89,AuxOPEXSaneparOriginal!$B$4:$K$177,9,0)</f>
        <v>121981.47000000002</v>
      </c>
      <c r="I89" s="57">
        <f>VLOOKUP(A89,AuxOPEXSaneparOriginal!$B$4:$N$177,13,0)</f>
        <v>10936.44</v>
      </c>
      <c r="J89" s="57">
        <f>VLOOKUP(A89,AuxOPEXSaneparOriginal!$B$4:$Q$177,16,0)</f>
        <v>160031.85999999999</v>
      </c>
      <c r="K89" s="57">
        <f>VLOOKUP(A89,AuxOPEXSaneparOriginal!$B$4:$V$177,21,0)</f>
        <v>0</v>
      </c>
      <c r="L89" s="157">
        <f t="shared" si="286"/>
        <v>325757.92000000004</v>
      </c>
      <c r="M89" s="19">
        <f>VLOOKUP(A89,AuxOPEXSaneparOriginal!$B$4:$AB$177,27,0)</f>
        <v>23674.489999999998</v>
      </c>
      <c r="N89" s="156">
        <f>VLOOKUP(A89,AuxOPEXSaneparOriginal!$B$4:$AC$177,28,0)</f>
        <v>11470.09</v>
      </c>
      <c r="O89" s="156">
        <f>VLOOKUP(A89,AuxOPEXSaneparOriginal!$B$4:$AD$177,29,0)</f>
        <v>0</v>
      </c>
      <c r="P89" s="156">
        <f>VLOOKUP(A89,AuxOPEXSaneparOriginal!$B$4:$AE$177,30,0)</f>
        <v>149718</v>
      </c>
      <c r="Q89" s="146">
        <f>VLOOKUP(A89,AuxOPEXSaneparOriginal!$B$4:$AF$177,31,0)</f>
        <v>9820.9299999999985</v>
      </c>
      <c r="R89" s="146">
        <f>VLOOKUP(A89,AuxOPEXSaneparOriginal!$B$4:$AG$177,32,0)</f>
        <v>639364.46000000008</v>
      </c>
      <c r="S89" s="146">
        <f>VLOOKUP(A89,AuxOPEXSaneparOriginal!$B$4:$AH$177,33,0)</f>
        <v>0</v>
      </c>
      <c r="T89" s="157">
        <f t="shared" si="287"/>
        <v>834047.97000000009</v>
      </c>
      <c r="U89" s="156">
        <f>VLOOKUP(A89,AuxOPEXSaneparOriginal!$B$4:$AI$177,34,0)</f>
        <v>106232.09000000001</v>
      </c>
      <c r="V89" s="156">
        <f>VLOOKUP(A89,AuxOPEXSaneparOriginal!$B$4:$AJ$177,35,0)</f>
        <v>221</v>
      </c>
      <c r="W89" s="156">
        <f>VLOOKUP(A89,AuxOPEXSaneparOriginal!$B$4:$AK$177,36,0)</f>
        <v>0</v>
      </c>
      <c r="X89" s="19">
        <f>+VLOOKUP(A89,AuxOPEXSaneparOriginal!$B$4:$AL$177,37,0)</f>
        <v>267249.10000000003</v>
      </c>
      <c r="Y89" s="146">
        <f>VLOOKUP(A89,AuxOPEXSaneparOriginal!$B$4:$AM$177,38,0)</f>
        <v>16134.699999999999</v>
      </c>
      <c r="Z89" s="146">
        <f>VLOOKUP(A89,AuxOPEXSaneparOriginal!$B$4:$AN$177,39,0)</f>
        <v>925488.55</v>
      </c>
      <c r="AA89" s="146">
        <f>VLOOKUP(A89,AuxOPEXSaneparOriginal!$B$4:$AO$177,40,0)</f>
        <v>0</v>
      </c>
      <c r="AB89" s="157">
        <f t="shared" si="288"/>
        <v>1315325.4400000002</v>
      </c>
      <c r="AC89" s="156">
        <f>VLOOKUP(A89,AuxOPEXSaneparOriginal!$B$4:$AP$177,41,0)</f>
        <v>87017.31</v>
      </c>
      <c r="AD89" s="156">
        <f>+VLOOKUP(A89,AuxOPEXSaneparOriginal!$B$4:$AQ$177,42,0)</f>
        <v>0</v>
      </c>
      <c r="AE89" s="156">
        <f>VLOOKUP(A89,AuxOPEXSaneparOriginal!$B$4:$AR$177,43,0)</f>
        <v>160</v>
      </c>
      <c r="AF89" s="156">
        <f>+VLOOKUP(A89,AuxOPEXSaneparOriginal!$B$4:$AS$177,44,0)</f>
        <v>222668.62999999998</v>
      </c>
      <c r="AG89" s="146">
        <f>VLOOKUP(A89,AuxOPEXSaneparOriginal!$B$4:$AT$177,45,0)</f>
        <v>4071.57</v>
      </c>
      <c r="AH89" s="146">
        <f>VLOOKUP(A89,AuxOPEXSaneparOriginal!$B$4:$AU$177,46,0)</f>
        <v>1253091.48</v>
      </c>
      <c r="AI89" s="146">
        <f>VLOOKUP(A89,AuxOPEXSaneparOriginal!$B$4:$AV$177,47,0)</f>
        <v>0</v>
      </c>
      <c r="AJ89" s="157">
        <f t="shared" si="289"/>
        <v>1567008.99</v>
      </c>
      <c r="AK89" s="157">
        <f t="shared" si="205"/>
        <v>1010535.0800000001</v>
      </c>
      <c r="AL89" s="157">
        <f t="shared" si="206"/>
        <v>1441167.2150000001</v>
      </c>
      <c r="AM89" s="144"/>
      <c r="AN89" s="167">
        <f t="shared" si="290"/>
        <v>32228.65</v>
      </c>
      <c r="AO89" s="168">
        <f t="shared" si="291"/>
        <v>380</v>
      </c>
      <c r="AP89" s="57">
        <f t="shared" si="292"/>
        <v>199.5</v>
      </c>
      <c r="AQ89" s="57">
        <f t="shared" si="293"/>
        <v>121981.47000000002</v>
      </c>
      <c r="AR89" s="57">
        <f t="shared" si="294"/>
        <v>10936.44</v>
      </c>
      <c r="AS89" s="57">
        <f t="shared" si="295"/>
        <v>160031.85999999999</v>
      </c>
      <c r="AT89" s="57">
        <f t="shared" si="296"/>
        <v>0</v>
      </c>
      <c r="AU89" s="157">
        <f t="shared" si="297"/>
        <v>325757.92000000004</v>
      </c>
      <c r="AV89" s="57">
        <f t="shared" si="298"/>
        <v>23674.489999999998</v>
      </c>
      <c r="AW89" s="57">
        <f t="shared" si="299"/>
        <v>11470.09</v>
      </c>
      <c r="AX89" s="57">
        <f t="shared" si="300"/>
        <v>0</v>
      </c>
      <c r="AY89" s="57">
        <f t="shared" si="301"/>
        <v>149718</v>
      </c>
      <c r="AZ89" s="57">
        <f t="shared" si="302"/>
        <v>9820.9299999999985</v>
      </c>
      <c r="BA89" s="57">
        <f t="shared" si="303"/>
        <v>639364.46000000008</v>
      </c>
      <c r="BB89" s="57">
        <f t="shared" si="304"/>
        <v>0</v>
      </c>
      <c r="BC89" s="157">
        <f t="shared" si="305"/>
        <v>834047.97000000009</v>
      </c>
      <c r="BD89" s="57">
        <f t="shared" si="306"/>
        <v>106232.09000000001</v>
      </c>
      <c r="BE89" s="57">
        <f t="shared" si="307"/>
        <v>221</v>
      </c>
      <c r="BF89" s="57">
        <f t="shared" si="308"/>
        <v>0</v>
      </c>
      <c r="BG89" s="57">
        <f t="shared" si="309"/>
        <v>267249.10000000003</v>
      </c>
      <c r="BH89" s="57">
        <f t="shared" si="310"/>
        <v>16134.699999999999</v>
      </c>
      <c r="BI89" s="57">
        <f t="shared" si="311"/>
        <v>925488.55</v>
      </c>
      <c r="BJ89" s="57">
        <f t="shared" si="312"/>
        <v>0</v>
      </c>
      <c r="BK89" s="157">
        <f t="shared" si="313"/>
        <v>1315325.4400000002</v>
      </c>
      <c r="BL89" s="57">
        <f t="shared" si="314"/>
        <v>87017.31</v>
      </c>
      <c r="BM89" s="57">
        <f t="shared" si="315"/>
        <v>0</v>
      </c>
      <c r="BN89" s="57">
        <f t="shared" si="316"/>
        <v>160</v>
      </c>
      <c r="BO89" s="57">
        <f t="shared" si="317"/>
        <v>222668.62999999998</v>
      </c>
      <c r="BP89" s="57">
        <f t="shared" si="318"/>
        <v>4071.57</v>
      </c>
      <c r="BQ89" s="57">
        <f t="shared" si="319"/>
        <v>1253091.48</v>
      </c>
      <c r="BR89" s="57">
        <f t="shared" si="320"/>
        <v>0</v>
      </c>
      <c r="BS89" s="157">
        <f t="shared" si="321"/>
        <v>1567008.99</v>
      </c>
      <c r="BT89" s="157">
        <f t="shared" si="73"/>
        <v>1010535.0800000001</v>
      </c>
      <c r="BU89" s="157">
        <f t="shared" si="74"/>
        <v>1441167.2150000001</v>
      </c>
      <c r="BV89" s="144"/>
      <c r="BW89" s="158">
        <f t="shared" si="322"/>
        <v>325757.92000000004</v>
      </c>
      <c r="BX89" s="159">
        <f t="shared" si="323"/>
        <v>834047.97000000009</v>
      </c>
      <c r="BY89" s="159">
        <f t="shared" si="324"/>
        <v>1315325.4400000002</v>
      </c>
      <c r="BZ89" s="159">
        <f t="shared" si="325"/>
        <v>1567008.99</v>
      </c>
      <c r="CA89" s="158">
        <f t="shared" si="326"/>
        <v>1010535.0800000001</v>
      </c>
      <c r="CB89" s="157">
        <f t="shared" si="327"/>
        <v>1074686.7050000001</v>
      </c>
      <c r="CC89" s="144"/>
      <c r="CD89" s="158">
        <f t="shared" si="328"/>
        <v>370057.05544916802</v>
      </c>
      <c r="CE89" s="159">
        <f t="shared" si="329"/>
        <v>910625.50053197111</v>
      </c>
      <c r="CF89" s="159">
        <f t="shared" si="330"/>
        <v>1390552.7163573762</v>
      </c>
      <c r="CG89" s="159">
        <f t="shared" si="331"/>
        <v>1567008.99</v>
      </c>
      <c r="CH89" s="158">
        <f t="shared" si="332"/>
        <v>1059561.0655846288</v>
      </c>
      <c r="CI89" s="157">
        <f t="shared" si="333"/>
        <v>1150589.1084446737</v>
      </c>
      <c r="CK89" s="61">
        <f t="shared" si="334"/>
        <v>1.4607705409823133</v>
      </c>
      <c r="CL89" s="62">
        <f t="shared" si="335"/>
        <v>0.52703028362926374</v>
      </c>
      <c r="CM89" s="63">
        <f t="shared" si="336"/>
        <v>0.12689650062664293</v>
      </c>
      <c r="CN89" s="61">
        <f t="shared" si="337"/>
        <v>3.2345064549519131</v>
      </c>
      <c r="CO89" s="29"/>
      <c r="CP89" s="61">
        <f t="shared" si="338"/>
        <v>1.558920156655384E-4</v>
      </c>
      <c r="CQ89" s="62">
        <f t="shared" si="339"/>
        <v>3.9210189061491358E-4</v>
      </c>
      <c r="CR89" s="63">
        <f t="shared" si="340"/>
        <v>5.7745935704287769E-4</v>
      </c>
      <c r="CS89" s="61">
        <f t="shared" si="341"/>
        <v>6.4746192177581919E-4</v>
      </c>
      <c r="CU89" s="60">
        <f t="shared" si="207"/>
        <v>100</v>
      </c>
      <c r="CV89" s="132">
        <f t="shared" si="208"/>
        <v>246.07705409823132</v>
      </c>
      <c r="CW89" s="132">
        <f t="shared" si="209"/>
        <v>375.76711371427592</v>
      </c>
      <c r="CX89" s="131">
        <f t="shared" si="210"/>
        <v>423.45064549519134</v>
      </c>
    </row>
    <row r="90" spans="1:102">
      <c r="A90" s="29">
        <v>317</v>
      </c>
      <c r="B90" s="29" t="s">
        <v>5</v>
      </c>
      <c r="C90" s="55" t="s">
        <v>120</v>
      </c>
      <c r="D90" s="56">
        <v>0</v>
      </c>
      <c r="E90" s="57">
        <f>VLOOKUP(A90,AuxOPEXSaneparOriginal!$B$4:$F$177,3,0)</f>
        <v>11950.03</v>
      </c>
      <c r="F90" s="156">
        <f>VLOOKUP(A90,AuxOPEXSaneparOriginal!$B$4:$F$177,4,0)</f>
        <v>19024.520000000004</v>
      </c>
      <c r="G90" s="57">
        <f>VLOOKUP(A90,AuxOPEXSaneparOriginal!$B$4:$K$177,8,0)</f>
        <v>10.5</v>
      </c>
      <c r="H90" s="156">
        <f>VLOOKUP(A90,AuxOPEXSaneparOriginal!$B$4:$K$177,9,0)</f>
        <v>7257.9100000000008</v>
      </c>
      <c r="I90" s="57">
        <f>VLOOKUP(A90,AuxOPEXSaneparOriginal!$B$4:$N$177,13,0)</f>
        <v>29702.48</v>
      </c>
      <c r="J90" s="57">
        <f>VLOOKUP(A90,AuxOPEXSaneparOriginal!$B$4:$Q$177,16,0)</f>
        <v>2175564.79</v>
      </c>
      <c r="K90" s="57">
        <f>VLOOKUP(A90,AuxOPEXSaneparOriginal!$B$4:$V$177,21,0)</f>
        <v>0</v>
      </c>
      <c r="L90" s="157">
        <f t="shared" si="286"/>
        <v>2243510.23</v>
      </c>
      <c r="M90" s="19">
        <f>VLOOKUP(A90,AuxOPEXSaneparOriginal!$B$4:$AB$177,27,0)</f>
        <v>32284.639999999996</v>
      </c>
      <c r="N90" s="156">
        <f>VLOOKUP(A90,AuxOPEXSaneparOriginal!$B$4:$AC$177,28,0)</f>
        <v>24969.309999999987</v>
      </c>
      <c r="O90" s="156">
        <f>VLOOKUP(A90,AuxOPEXSaneparOriginal!$B$4:$AD$177,29,0)</f>
        <v>3590.75</v>
      </c>
      <c r="P90" s="156">
        <f>VLOOKUP(A90,AuxOPEXSaneparOriginal!$B$4:$AE$177,30,0)</f>
        <v>19069.330000000002</v>
      </c>
      <c r="Q90" s="146">
        <f>VLOOKUP(A90,AuxOPEXSaneparOriginal!$B$4:$AF$177,31,0)</f>
        <v>49001.81</v>
      </c>
      <c r="R90" s="146">
        <f>VLOOKUP(A90,AuxOPEXSaneparOriginal!$B$4:$AG$177,32,0)</f>
        <v>2090582.94</v>
      </c>
      <c r="S90" s="146">
        <f>VLOOKUP(A90,AuxOPEXSaneparOriginal!$B$4:$AH$177,33,0)</f>
        <v>0</v>
      </c>
      <c r="T90" s="157">
        <f t="shared" si="287"/>
        <v>2219498.7799999998</v>
      </c>
      <c r="U90" s="156">
        <f>VLOOKUP(A90,AuxOPEXSaneparOriginal!$B$4:$AI$177,34,0)</f>
        <v>17684.510000000002</v>
      </c>
      <c r="V90" s="156">
        <f>VLOOKUP(A90,AuxOPEXSaneparOriginal!$B$4:$AJ$177,35,0)</f>
        <v>26366.110000000004</v>
      </c>
      <c r="W90" s="156">
        <f>VLOOKUP(A90,AuxOPEXSaneparOriginal!$B$4:$AK$177,36,0)</f>
        <v>509.75</v>
      </c>
      <c r="X90" s="19">
        <f>+VLOOKUP(A90,AuxOPEXSaneparOriginal!$B$4:$AL$177,37,0)</f>
        <v>8574.7000000000007</v>
      </c>
      <c r="Y90" s="146">
        <f>VLOOKUP(A90,AuxOPEXSaneparOriginal!$B$4:$AM$177,38,0)</f>
        <v>44974.93</v>
      </c>
      <c r="Z90" s="146">
        <f>VLOOKUP(A90,AuxOPEXSaneparOriginal!$B$4:$AN$177,39,0)</f>
        <v>1897846.98</v>
      </c>
      <c r="AA90" s="146">
        <f>VLOOKUP(A90,AuxOPEXSaneparOriginal!$B$4:$AO$177,40,0)</f>
        <v>0</v>
      </c>
      <c r="AB90" s="157">
        <f t="shared" si="288"/>
        <v>1995956.98</v>
      </c>
      <c r="AC90" s="156">
        <f>VLOOKUP(A90,AuxOPEXSaneparOriginal!$B$4:$AP$177,41,0)</f>
        <v>49597.729999999996</v>
      </c>
      <c r="AD90" s="156">
        <f>+VLOOKUP(A90,AuxOPEXSaneparOriginal!$B$4:$AQ$177,42,0)</f>
        <v>50530.909999999982</v>
      </c>
      <c r="AE90" s="156">
        <f>VLOOKUP(A90,AuxOPEXSaneparOriginal!$B$4:$AR$177,43,0)</f>
        <v>386.74</v>
      </c>
      <c r="AF90" s="156">
        <f>+VLOOKUP(A90,AuxOPEXSaneparOriginal!$B$4:$AS$177,44,0)</f>
        <v>5863.3</v>
      </c>
      <c r="AG90" s="146">
        <f>VLOOKUP(A90,AuxOPEXSaneparOriginal!$B$4:$AT$177,45,0)</f>
        <v>38598.11</v>
      </c>
      <c r="AH90" s="146">
        <f>VLOOKUP(A90,AuxOPEXSaneparOriginal!$B$4:$AU$177,46,0)</f>
        <v>1012175.2800000001</v>
      </c>
      <c r="AI90" s="146">
        <f>VLOOKUP(A90,AuxOPEXSaneparOriginal!$B$4:$AV$177,47,0)</f>
        <v>0</v>
      </c>
      <c r="AJ90" s="157">
        <f t="shared" si="289"/>
        <v>1157152.07</v>
      </c>
      <c r="AK90" s="157">
        <f t="shared" si="205"/>
        <v>1904029.5150000001</v>
      </c>
      <c r="AL90" s="157">
        <f t="shared" si="206"/>
        <v>1576554.5249999999</v>
      </c>
      <c r="AM90" s="144"/>
      <c r="AN90" s="167">
        <f t="shared" si="290"/>
        <v>11950.03</v>
      </c>
      <c r="AO90" s="168">
        <f t="shared" si="291"/>
        <v>19024.520000000004</v>
      </c>
      <c r="AP90" s="57">
        <f t="shared" si="292"/>
        <v>10.5</v>
      </c>
      <c r="AQ90" s="57">
        <f t="shared" si="293"/>
        <v>7257.9100000000008</v>
      </c>
      <c r="AR90" s="57">
        <f t="shared" si="294"/>
        <v>29702.48</v>
      </c>
      <c r="AS90" s="57">
        <f t="shared" si="295"/>
        <v>2175564.79</v>
      </c>
      <c r="AT90" s="57">
        <f t="shared" si="296"/>
        <v>0</v>
      </c>
      <c r="AU90" s="157">
        <f t="shared" si="297"/>
        <v>2243510.23</v>
      </c>
      <c r="AV90" s="57">
        <f t="shared" si="298"/>
        <v>32284.639999999996</v>
      </c>
      <c r="AW90" s="57">
        <f t="shared" si="299"/>
        <v>24969.309999999987</v>
      </c>
      <c r="AX90" s="57">
        <f t="shared" si="300"/>
        <v>3590.75</v>
      </c>
      <c r="AY90" s="57">
        <f t="shared" si="301"/>
        <v>19069.330000000002</v>
      </c>
      <c r="AZ90" s="57">
        <f t="shared" si="302"/>
        <v>49001.81</v>
      </c>
      <c r="BA90" s="57">
        <f t="shared" si="303"/>
        <v>2090582.94</v>
      </c>
      <c r="BB90" s="57">
        <f t="shared" si="304"/>
        <v>0</v>
      </c>
      <c r="BC90" s="157">
        <f t="shared" si="305"/>
        <v>2219498.7799999998</v>
      </c>
      <c r="BD90" s="57">
        <f t="shared" si="306"/>
        <v>17684.510000000002</v>
      </c>
      <c r="BE90" s="57">
        <f t="shared" si="307"/>
        <v>26366.110000000004</v>
      </c>
      <c r="BF90" s="57">
        <f t="shared" si="308"/>
        <v>509.75</v>
      </c>
      <c r="BG90" s="57">
        <f t="shared" si="309"/>
        <v>8574.7000000000007</v>
      </c>
      <c r="BH90" s="57">
        <f t="shared" si="310"/>
        <v>44974.93</v>
      </c>
      <c r="BI90" s="57">
        <f t="shared" si="311"/>
        <v>1897846.98</v>
      </c>
      <c r="BJ90" s="57">
        <f t="shared" si="312"/>
        <v>0</v>
      </c>
      <c r="BK90" s="157">
        <f t="shared" si="313"/>
        <v>1995956.98</v>
      </c>
      <c r="BL90" s="57">
        <f t="shared" si="314"/>
        <v>49597.729999999996</v>
      </c>
      <c r="BM90" s="57">
        <f t="shared" si="315"/>
        <v>50530.909999999982</v>
      </c>
      <c r="BN90" s="57">
        <f t="shared" si="316"/>
        <v>386.74</v>
      </c>
      <c r="BO90" s="57">
        <f t="shared" si="317"/>
        <v>5863.3</v>
      </c>
      <c r="BP90" s="57">
        <f t="shared" si="318"/>
        <v>38598.11</v>
      </c>
      <c r="BQ90" s="57">
        <f t="shared" si="319"/>
        <v>1012175.2800000001</v>
      </c>
      <c r="BR90" s="57">
        <f t="shared" si="320"/>
        <v>0</v>
      </c>
      <c r="BS90" s="157">
        <f t="shared" si="321"/>
        <v>1157152.07</v>
      </c>
      <c r="BT90" s="157">
        <f t="shared" si="73"/>
        <v>1904029.5150000001</v>
      </c>
      <c r="BU90" s="157">
        <f t="shared" si="74"/>
        <v>1576554.5249999999</v>
      </c>
      <c r="BV90" s="144"/>
      <c r="BW90" s="158">
        <f t="shared" si="322"/>
        <v>2243510.23</v>
      </c>
      <c r="BX90" s="159">
        <f t="shared" si="323"/>
        <v>2219498.7799999998</v>
      </c>
      <c r="BY90" s="159">
        <f t="shared" si="324"/>
        <v>1995956.98</v>
      </c>
      <c r="BZ90" s="159">
        <f t="shared" si="325"/>
        <v>1157152.07</v>
      </c>
      <c r="CA90" s="158">
        <f t="shared" si="326"/>
        <v>1904029.5150000001</v>
      </c>
      <c r="CB90" s="157">
        <f t="shared" si="327"/>
        <v>2107727.88</v>
      </c>
      <c r="CC90" s="144"/>
      <c r="CD90" s="158">
        <f t="shared" si="328"/>
        <v>2548600.474806217</v>
      </c>
      <c r="CE90" s="159">
        <f t="shared" si="329"/>
        <v>2423280.506836554</v>
      </c>
      <c r="CF90" s="159">
        <f t="shared" si="330"/>
        <v>2110111.5479614418</v>
      </c>
      <c r="CG90" s="159">
        <f t="shared" si="331"/>
        <v>1157152.07</v>
      </c>
      <c r="CH90" s="158">
        <f t="shared" si="332"/>
        <v>2059786.1499010534</v>
      </c>
      <c r="CI90" s="157">
        <f t="shared" si="333"/>
        <v>2266696.0273989979</v>
      </c>
      <c r="CK90" s="61">
        <f t="shared" si="334"/>
        <v>-4.9172072754632756E-2</v>
      </c>
      <c r="CL90" s="62">
        <f t="shared" si="335"/>
        <v>-0.12923347420639109</v>
      </c>
      <c r="CM90" s="63">
        <f t="shared" si="336"/>
        <v>-0.45161568774981897</v>
      </c>
      <c r="CN90" s="61">
        <f t="shared" si="337"/>
        <v>-0.54596568530892076</v>
      </c>
      <c r="CO90" s="29"/>
      <c r="CP90" s="61">
        <f t="shared" si="338"/>
        <v>1.0736356983153492E-3</v>
      </c>
      <c r="CQ90" s="62">
        <f t="shared" si="339"/>
        <v>1.0434287944559039E-3</v>
      </c>
      <c r="CR90" s="63">
        <f t="shared" si="340"/>
        <v>8.7627289741772476E-4</v>
      </c>
      <c r="CS90" s="61">
        <f t="shared" si="341"/>
        <v>4.7811589327835784E-4</v>
      </c>
      <c r="CU90" s="60">
        <f t="shared" si="207"/>
        <v>100</v>
      </c>
      <c r="CV90" s="132">
        <f t="shared" si="208"/>
        <v>95.082792724536731</v>
      </c>
      <c r="CW90" s="132">
        <f t="shared" si="209"/>
        <v>82.79491308349867</v>
      </c>
      <c r="CX90" s="131">
        <f t="shared" si="210"/>
        <v>45.403431469107929</v>
      </c>
    </row>
    <row r="91" spans="1:102">
      <c r="A91" s="29">
        <v>318</v>
      </c>
      <c r="B91" s="29" t="s">
        <v>5</v>
      </c>
      <c r="C91" s="55" t="s">
        <v>121</v>
      </c>
      <c r="D91" s="56">
        <v>0</v>
      </c>
      <c r="E91" s="57">
        <f>VLOOKUP(A91,AuxOPEXSaneparOriginal!$B$4:$F$177,3,0)</f>
        <v>441022.42</v>
      </c>
      <c r="F91" s="156">
        <f>VLOOKUP(A91,AuxOPEXSaneparOriginal!$B$4:$F$177,4,0)</f>
        <v>447154.98</v>
      </c>
      <c r="G91" s="57">
        <f>VLOOKUP(A91,AuxOPEXSaneparOriginal!$B$4:$K$177,8,0)</f>
        <v>3233.91</v>
      </c>
      <c r="H91" s="156">
        <f>VLOOKUP(A91,AuxOPEXSaneparOriginal!$B$4:$K$177,9,0)</f>
        <v>18435.57</v>
      </c>
      <c r="I91" s="57">
        <f>VLOOKUP(A91,AuxOPEXSaneparOriginal!$B$4:$N$177,13,0)</f>
        <v>698917.5400000005</v>
      </c>
      <c r="J91" s="57">
        <f>VLOOKUP(A91,AuxOPEXSaneparOriginal!$B$4:$Q$177,16,0)</f>
        <v>3196746.95</v>
      </c>
      <c r="K91" s="57">
        <f>VLOOKUP(A91,AuxOPEXSaneparOriginal!$B$4:$V$177,21,0)</f>
        <v>0</v>
      </c>
      <c r="L91" s="157">
        <f t="shared" si="286"/>
        <v>4805511.370000001</v>
      </c>
      <c r="M91" s="19">
        <f>VLOOKUP(A91,AuxOPEXSaneparOriginal!$B$4:$AB$177,27,0)</f>
        <v>410642.8</v>
      </c>
      <c r="N91" s="156">
        <f>VLOOKUP(A91,AuxOPEXSaneparOriginal!$B$4:$AC$177,28,0)</f>
        <v>746591.99000000022</v>
      </c>
      <c r="O91" s="156">
        <f>VLOOKUP(A91,AuxOPEXSaneparOriginal!$B$4:$AD$177,29,0)</f>
        <v>4504.97</v>
      </c>
      <c r="P91" s="156">
        <f>VLOOKUP(A91,AuxOPEXSaneparOriginal!$B$4:$AE$177,30,0)</f>
        <v>22057.24</v>
      </c>
      <c r="Q91" s="146">
        <f>VLOOKUP(A91,AuxOPEXSaneparOriginal!$B$4:$AF$177,31,0)</f>
        <v>164160.86000000004</v>
      </c>
      <c r="R91" s="146">
        <f>VLOOKUP(A91,AuxOPEXSaneparOriginal!$B$4:$AG$177,32,0)</f>
        <v>5239196.3100000005</v>
      </c>
      <c r="S91" s="146">
        <f>VLOOKUP(A91,AuxOPEXSaneparOriginal!$B$4:$AH$177,33,0)</f>
        <v>0</v>
      </c>
      <c r="T91" s="157">
        <f t="shared" si="287"/>
        <v>6587154.1700000009</v>
      </c>
      <c r="U91" s="156">
        <f>VLOOKUP(A91,AuxOPEXSaneparOriginal!$B$4:$AI$177,34,0)</f>
        <v>335412.38000000006</v>
      </c>
      <c r="V91" s="156">
        <f>VLOOKUP(A91,AuxOPEXSaneparOriginal!$B$4:$AJ$177,35,0)</f>
        <v>582860.20999999985</v>
      </c>
      <c r="W91" s="156">
        <f>VLOOKUP(A91,AuxOPEXSaneparOriginal!$B$4:$AK$177,36,0)</f>
        <v>10748.529999999999</v>
      </c>
      <c r="X91" s="19">
        <f>+VLOOKUP(A91,AuxOPEXSaneparOriginal!$B$4:$AL$177,37,0)</f>
        <v>20840.489999999998</v>
      </c>
      <c r="Y91" s="146">
        <f>VLOOKUP(A91,AuxOPEXSaneparOriginal!$B$4:$AM$177,38,0)</f>
        <v>169112.12</v>
      </c>
      <c r="Z91" s="146">
        <f>VLOOKUP(A91,AuxOPEXSaneparOriginal!$B$4:$AN$177,39,0)</f>
        <v>5243348.4600000009</v>
      </c>
      <c r="AA91" s="146">
        <f>VLOOKUP(A91,AuxOPEXSaneparOriginal!$B$4:$AO$177,40,0)</f>
        <v>0</v>
      </c>
      <c r="AB91" s="157">
        <f t="shared" si="288"/>
        <v>6362322.1900000013</v>
      </c>
      <c r="AC91" s="156">
        <f>VLOOKUP(A91,AuxOPEXSaneparOriginal!$B$4:$AP$177,41,0)</f>
        <v>482518.08999999997</v>
      </c>
      <c r="AD91" s="156">
        <f>+VLOOKUP(A91,AuxOPEXSaneparOriginal!$B$4:$AQ$177,42,0)</f>
        <v>474285.47000000003</v>
      </c>
      <c r="AE91" s="156">
        <f>VLOOKUP(A91,AuxOPEXSaneparOriginal!$B$4:$AR$177,43,0)</f>
        <v>4633.92</v>
      </c>
      <c r="AF91" s="156">
        <f>+VLOOKUP(A91,AuxOPEXSaneparOriginal!$B$4:$AS$177,44,0)</f>
        <v>17050.91</v>
      </c>
      <c r="AG91" s="146">
        <f>VLOOKUP(A91,AuxOPEXSaneparOriginal!$B$4:$AT$177,45,0)</f>
        <v>213724.24000000002</v>
      </c>
      <c r="AH91" s="146">
        <f>VLOOKUP(A91,AuxOPEXSaneparOriginal!$B$4:$AU$177,46,0)</f>
        <v>4688383.4800000004</v>
      </c>
      <c r="AI91" s="146">
        <f>VLOOKUP(A91,AuxOPEXSaneparOriginal!$B$4:$AV$177,47,0)</f>
        <v>0</v>
      </c>
      <c r="AJ91" s="157">
        <f t="shared" si="289"/>
        <v>5880596.1100000003</v>
      </c>
      <c r="AK91" s="157">
        <f t="shared" si="205"/>
        <v>5908895.9600000009</v>
      </c>
      <c r="AL91" s="157">
        <f t="shared" si="206"/>
        <v>6121459.1500000004</v>
      </c>
      <c r="AM91" s="144"/>
      <c r="AN91" s="167">
        <f t="shared" si="290"/>
        <v>441022.42</v>
      </c>
      <c r="AO91" s="168">
        <f t="shared" si="291"/>
        <v>447154.98</v>
      </c>
      <c r="AP91" s="57">
        <f t="shared" si="292"/>
        <v>3233.91</v>
      </c>
      <c r="AQ91" s="57">
        <f t="shared" si="293"/>
        <v>18435.57</v>
      </c>
      <c r="AR91" s="57">
        <f t="shared" si="294"/>
        <v>698917.5400000005</v>
      </c>
      <c r="AS91" s="57">
        <f t="shared" si="295"/>
        <v>3196746.95</v>
      </c>
      <c r="AT91" s="57">
        <f t="shared" si="296"/>
        <v>0</v>
      </c>
      <c r="AU91" s="157">
        <f t="shared" si="297"/>
        <v>4805511.370000001</v>
      </c>
      <c r="AV91" s="57">
        <f t="shared" si="298"/>
        <v>410642.8</v>
      </c>
      <c r="AW91" s="57">
        <f t="shared" si="299"/>
        <v>746591.99000000022</v>
      </c>
      <c r="AX91" s="57">
        <f t="shared" si="300"/>
        <v>4504.97</v>
      </c>
      <c r="AY91" s="57">
        <f t="shared" si="301"/>
        <v>22057.24</v>
      </c>
      <c r="AZ91" s="57">
        <f t="shared" si="302"/>
        <v>164160.86000000004</v>
      </c>
      <c r="BA91" s="57">
        <f t="shared" si="303"/>
        <v>5239196.3100000005</v>
      </c>
      <c r="BB91" s="57">
        <f t="shared" si="304"/>
        <v>0</v>
      </c>
      <c r="BC91" s="157">
        <f t="shared" si="305"/>
        <v>6587154.1700000009</v>
      </c>
      <c r="BD91" s="57">
        <f t="shared" si="306"/>
        <v>335412.38000000006</v>
      </c>
      <c r="BE91" s="57">
        <f t="shared" si="307"/>
        <v>582860.20999999985</v>
      </c>
      <c r="BF91" s="57">
        <f t="shared" si="308"/>
        <v>10748.529999999999</v>
      </c>
      <c r="BG91" s="57">
        <f t="shared" si="309"/>
        <v>20840.489999999998</v>
      </c>
      <c r="BH91" s="57">
        <f t="shared" si="310"/>
        <v>169112.12</v>
      </c>
      <c r="BI91" s="57">
        <f t="shared" si="311"/>
        <v>5243348.4600000009</v>
      </c>
      <c r="BJ91" s="57">
        <f t="shared" si="312"/>
        <v>0</v>
      </c>
      <c r="BK91" s="157">
        <f t="shared" si="313"/>
        <v>6362322.1900000013</v>
      </c>
      <c r="BL91" s="57">
        <f t="shared" si="314"/>
        <v>482518.08999999997</v>
      </c>
      <c r="BM91" s="57">
        <f t="shared" si="315"/>
        <v>474285.47000000003</v>
      </c>
      <c r="BN91" s="57">
        <f t="shared" si="316"/>
        <v>4633.92</v>
      </c>
      <c r="BO91" s="57">
        <f t="shared" si="317"/>
        <v>17050.91</v>
      </c>
      <c r="BP91" s="57">
        <f t="shared" si="318"/>
        <v>213724.24000000002</v>
      </c>
      <c r="BQ91" s="57">
        <f t="shared" si="319"/>
        <v>4688383.4800000004</v>
      </c>
      <c r="BR91" s="57">
        <f t="shared" si="320"/>
        <v>0</v>
      </c>
      <c r="BS91" s="157">
        <f t="shared" si="321"/>
        <v>5880596.1100000003</v>
      </c>
      <c r="BT91" s="157">
        <f t="shared" si="73"/>
        <v>5908895.9600000009</v>
      </c>
      <c r="BU91" s="157">
        <f t="shared" si="74"/>
        <v>6121459.1500000004</v>
      </c>
      <c r="BV91" s="144"/>
      <c r="BW91" s="158">
        <f t="shared" si="322"/>
        <v>4805511.370000001</v>
      </c>
      <c r="BX91" s="159">
        <f t="shared" si="323"/>
        <v>6587154.1700000009</v>
      </c>
      <c r="BY91" s="159">
        <f t="shared" si="324"/>
        <v>6362322.1900000013</v>
      </c>
      <c r="BZ91" s="159">
        <f t="shared" si="325"/>
        <v>5880596.1100000003</v>
      </c>
      <c r="CA91" s="158">
        <f t="shared" si="326"/>
        <v>5908895.9600000009</v>
      </c>
      <c r="CB91" s="157">
        <f t="shared" si="327"/>
        <v>6121459.1500000004</v>
      </c>
      <c r="CC91" s="144"/>
      <c r="CD91" s="158">
        <f t="shared" si="328"/>
        <v>5459002.7696324242</v>
      </c>
      <c r="CE91" s="159">
        <f t="shared" si="329"/>
        <v>7191949.1191106318</v>
      </c>
      <c r="CF91" s="159">
        <f t="shared" si="330"/>
        <v>6726201.8467804519</v>
      </c>
      <c r="CG91" s="159">
        <f t="shared" si="331"/>
        <v>5880596.1100000003</v>
      </c>
      <c r="CH91" s="158">
        <f t="shared" si="332"/>
        <v>6314437.4613808766</v>
      </c>
      <c r="CI91" s="157">
        <f t="shared" si="333"/>
        <v>6303398.9783902261</v>
      </c>
      <c r="CK91" s="61">
        <f t="shared" si="334"/>
        <v>0.31744742082167754</v>
      </c>
      <c r="CL91" s="62">
        <f t="shared" si="335"/>
        <v>-6.4759533836604044E-2</v>
      </c>
      <c r="CM91" s="63">
        <f t="shared" si="336"/>
        <v>-0.12571816249986723</v>
      </c>
      <c r="CN91" s="61">
        <f t="shared" si="337"/>
        <v>7.722900283415024E-2</v>
      </c>
      <c r="CO91" s="29"/>
      <c r="CP91" s="61">
        <f t="shared" si="338"/>
        <v>2.2996857721002241E-3</v>
      </c>
      <c r="CQ91" s="62">
        <f t="shared" si="339"/>
        <v>3.0967470657939635E-3</v>
      </c>
      <c r="CR91" s="63">
        <f t="shared" si="340"/>
        <v>2.7932117553637779E-3</v>
      </c>
      <c r="CS91" s="61">
        <f t="shared" si="341"/>
        <v>2.4297640172236709E-3</v>
      </c>
      <c r="CU91" s="60">
        <f t="shared" si="207"/>
        <v>100</v>
      </c>
      <c r="CV91" s="132">
        <f t="shared" si="208"/>
        <v>131.74474208216776</v>
      </c>
      <c r="CW91" s="132">
        <f t="shared" si="209"/>
        <v>123.21301399950293</v>
      </c>
      <c r="CX91" s="131">
        <f t="shared" si="210"/>
        <v>107.72290028341503</v>
      </c>
    </row>
    <row r="92" spans="1:102">
      <c r="A92" s="29">
        <v>319</v>
      </c>
      <c r="B92" s="29" t="s">
        <v>5</v>
      </c>
      <c r="C92" s="55" t="s">
        <v>122</v>
      </c>
      <c r="D92" s="56">
        <v>0</v>
      </c>
      <c r="E92" s="57">
        <f>VLOOKUP(A92,AuxOPEXSaneparOriginal!$B$4:$F$177,3,0)</f>
        <v>291884.15999999997</v>
      </c>
      <c r="F92" s="156">
        <f>VLOOKUP(A92,AuxOPEXSaneparOriginal!$B$4:$F$177,4,0)</f>
        <v>231324.71</v>
      </c>
      <c r="G92" s="57">
        <f>VLOOKUP(A92,AuxOPEXSaneparOriginal!$B$4:$K$177,8,0)</f>
        <v>84161.25</v>
      </c>
      <c r="H92" s="156">
        <f>VLOOKUP(A92,AuxOPEXSaneparOriginal!$B$4:$K$177,9,0)</f>
        <v>22021.25</v>
      </c>
      <c r="I92" s="57">
        <f>VLOOKUP(A92,AuxOPEXSaneparOriginal!$B$4:$N$177,13,0)</f>
        <v>1352201.7600000002</v>
      </c>
      <c r="J92" s="57">
        <f>VLOOKUP(A92,AuxOPEXSaneparOriginal!$B$4:$Q$177,16,0)</f>
        <v>10075515.84</v>
      </c>
      <c r="K92" s="57">
        <f>VLOOKUP(A92,AuxOPEXSaneparOriginal!$B$4:$V$177,21,0)</f>
        <v>0</v>
      </c>
      <c r="L92" s="157">
        <f t="shared" si="286"/>
        <v>12057108.970000001</v>
      </c>
      <c r="M92" s="19">
        <f>VLOOKUP(A92,AuxOPEXSaneparOriginal!$B$4:$AB$177,27,0)</f>
        <v>330986.18</v>
      </c>
      <c r="N92" s="156">
        <f>VLOOKUP(A92,AuxOPEXSaneparOriginal!$B$4:$AC$177,28,0)</f>
        <v>355093.81</v>
      </c>
      <c r="O92" s="156">
        <f>VLOOKUP(A92,AuxOPEXSaneparOriginal!$B$4:$AD$177,29,0)</f>
        <v>47417</v>
      </c>
      <c r="P92" s="156">
        <f>VLOOKUP(A92,AuxOPEXSaneparOriginal!$B$4:$AE$177,30,0)</f>
        <v>22086.53</v>
      </c>
      <c r="Q92" s="146">
        <f>VLOOKUP(A92,AuxOPEXSaneparOriginal!$B$4:$AF$177,31,0)</f>
        <v>1486862.4700000004</v>
      </c>
      <c r="R92" s="146">
        <f>VLOOKUP(A92,AuxOPEXSaneparOriginal!$B$4:$AG$177,32,0)</f>
        <v>10432271.66</v>
      </c>
      <c r="S92" s="146">
        <f>VLOOKUP(A92,AuxOPEXSaneparOriginal!$B$4:$AH$177,33,0)</f>
        <v>0</v>
      </c>
      <c r="T92" s="157">
        <f t="shared" si="287"/>
        <v>12674717.65</v>
      </c>
      <c r="U92" s="156">
        <f>VLOOKUP(A92,AuxOPEXSaneparOriginal!$B$4:$AI$177,34,0)</f>
        <v>0</v>
      </c>
      <c r="V92" s="156">
        <f>VLOOKUP(A92,AuxOPEXSaneparOriginal!$B$4:$AJ$177,35,0)</f>
        <v>0</v>
      </c>
      <c r="W92" s="156">
        <f>VLOOKUP(A92,AuxOPEXSaneparOriginal!$B$4:$AK$177,36,0)</f>
        <v>0</v>
      </c>
      <c r="X92" s="19">
        <f>+VLOOKUP(A92,AuxOPEXSaneparOriginal!$B$4:$AL$177,37,0)</f>
        <v>0</v>
      </c>
      <c r="Y92" s="146">
        <f>VLOOKUP(A92,AuxOPEXSaneparOriginal!$B$4:$AM$177,38,0)</f>
        <v>2844.74</v>
      </c>
      <c r="Z92" s="146">
        <f>VLOOKUP(A92,AuxOPEXSaneparOriginal!$B$4:$AN$177,39,0)</f>
        <v>226839.23</v>
      </c>
      <c r="AA92" s="146">
        <f>VLOOKUP(A92,AuxOPEXSaneparOriginal!$B$4:$AO$177,40,0)</f>
        <v>0</v>
      </c>
      <c r="AB92" s="157">
        <f t="shared" si="288"/>
        <v>229683.97</v>
      </c>
      <c r="AC92" s="156">
        <f>VLOOKUP(A92,AuxOPEXSaneparOriginal!$B$4:$AP$177,41,0)</f>
        <v>0</v>
      </c>
      <c r="AD92" s="156">
        <f>+VLOOKUP(A92,AuxOPEXSaneparOriginal!$B$4:$AQ$177,42,0)</f>
        <v>0</v>
      </c>
      <c r="AE92" s="156">
        <f>VLOOKUP(A92,AuxOPEXSaneparOriginal!$B$4:$AR$177,43,0)</f>
        <v>0</v>
      </c>
      <c r="AF92" s="156">
        <f>+VLOOKUP(A92,AuxOPEXSaneparOriginal!$B$4:$AS$177,44,0)</f>
        <v>0</v>
      </c>
      <c r="AG92" s="146">
        <f>VLOOKUP(A92,AuxOPEXSaneparOriginal!$B$4:$AT$177,45,0)</f>
        <v>13549.09</v>
      </c>
      <c r="AH92" s="146">
        <f>VLOOKUP(A92,AuxOPEXSaneparOriginal!$B$4:$AU$177,46,0)</f>
        <v>406244.14999999991</v>
      </c>
      <c r="AI92" s="146">
        <f>VLOOKUP(A92,AuxOPEXSaneparOriginal!$B$4:$AV$177,47,0)</f>
        <v>0</v>
      </c>
      <c r="AJ92" s="157">
        <f t="shared" si="289"/>
        <v>419793.23999999993</v>
      </c>
      <c r="AK92" s="157">
        <f t="shared" si="205"/>
        <v>6345325.9574999996</v>
      </c>
      <c r="AL92" s="157">
        <f t="shared" si="206"/>
        <v>324738.60499999998</v>
      </c>
      <c r="AM92" s="144"/>
      <c r="AN92" s="167">
        <f t="shared" si="290"/>
        <v>291884.15999999997</v>
      </c>
      <c r="AO92" s="168">
        <f t="shared" si="291"/>
        <v>231324.71</v>
      </c>
      <c r="AP92" s="57">
        <f t="shared" si="292"/>
        <v>84161.25</v>
      </c>
      <c r="AQ92" s="57">
        <f t="shared" si="293"/>
        <v>22021.25</v>
      </c>
      <c r="AR92" s="57">
        <f t="shared" si="294"/>
        <v>1352201.7600000002</v>
      </c>
      <c r="AS92" s="57">
        <f t="shared" si="295"/>
        <v>10075515.84</v>
      </c>
      <c r="AT92" s="57">
        <f t="shared" si="296"/>
        <v>0</v>
      </c>
      <c r="AU92" s="157">
        <f t="shared" si="297"/>
        <v>12057108.970000001</v>
      </c>
      <c r="AV92" s="57">
        <f t="shared" si="298"/>
        <v>330986.18</v>
      </c>
      <c r="AW92" s="57">
        <f t="shared" si="299"/>
        <v>355093.81</v>
      </c>
      <c r="AX92" s="57">
        <f t="shared" si="300"/>
        <v>47417</v>
      </c>
      <c r="AY92" s="57">
        <f t="shared" si="301"/>
        <v>22086.53</v>
      </c>
      <c r="AZ92" s="57">
        <f t="shared" si="302"/>
        <v>1486862.4700000004</v>
      </c>
      <c r="BA92" s="57">
        <f t="shared" si="303"/>
        <v>10432271.66</v>
      </c>
      <c r="BB92" s="57">
        <f t="shared" si="304"/>
        <v>0</v>
      </c>
      <c r="BC92" s="157">
        <f t="shared" si="305"/>
        <v>12674717.65</v>
      </c>
      <c r="BD92" s="57">
        <f t="shared" si="306"/>
        <v>0</v>
      </c>
      <c r="BE92" s="57">
        <f t="shared" si="307"/>
        <v>0</v>
      </c>
      <c r="BF92" s="57">
        <f t="shared" si="308"/>
        <v>0</v>
      </c>
      <c r="BG92" s="57">
        <f t="shared" si="309"/>
        <v>0</v>
      </c>
      <c r="BH92" s="57">
        <f t="shared" si="310"/>
        <v>2844.74</v>
      </c>
      <c r="BI92" s="57">
        <f t="shared" si="311"/>
        <v>226839.23</v>
      </c>
      <c r="BJ92" s="57">
        <f t="shared" si="312"/>
        <v>0</v>
      </c>
      <c r="BK92" s="157">
        <f t="shared" si="313"/>
        <v>229683.97</v>
      </c>
      <c r="BL92" s="57">
        <f t="shared" si="314"/>
        <v>0</v>
      </c>
      <c r="BM92" s="57">
        <f t="shared" si="315"/>
        <v>0</v>
      </c>
      <c r="BN92" s="57">
        <f t="shared" si="316"/>
        <v>0</v>
      </c>
      <c r="BO92" s="57">
        <f t="shared" si="317"/>
        <v>0</v>
      </c>
      <c r="BP92" s="57">
        <f t="shared" si="318"/>
        <v>13549.09</v>
      </c>
      <c r="BQ92" s="57">
        <f t="shared" si="319"/>
        <v>406244.14999999991</v>
      </c>
      <c r="BR92" s="57">
        <f t="shared" si="320"/>
        <v>0</v>
      </c>
      <c r="BS92" s="157">
        <f t="shared" si="321"/>
        <v>419793.23999999993</v>
      </c>
      <c r="BT92" s="157">
        <f t="shared" si="73"/>
        <v>6345325.9574999996</v>
      </c>
      <c r="BU92" s="157">
        <f t="shared" si="74"/>
        <v>324738.60499999998</v>
      </c>
      <c r="BV92" s="144"/>
      <c r="BW92" s="158">
        <f t="shared" si="322"/>
        <v>12057108.970000001</v>
      </c>
      <c r="BX92" s="159">
        <f t="shared" si="323"/>
        <v>12674717.65</v>
      </c>
      <c r="BY92" s="159">
        <f t="shared" si="324"/>
        <v>229683.97</v>
      </c>
      <c r="BZ92" s="159">
        <f t="shared" si="325"/>
        <v>419793.23999999993</v>
      </c>
      <c r="CA92" s="158">
        <f t="shared" si="326"/>
        <v>6345325.9574999996</v>
      </c>
      <c r="CB92" s="157">
        <f t="shared" si="327"/>
        <v>6238451.1050000004</v>
      </c>
      <c r="CC92" s="144"/>
      <c r="CD92" s="158">
        <f t="shared" si="328"/>
        <v>13696729.898901463</v>
      </c>
      <c r="CE92" s="159">
        <f t="shared" si="329"/>
        <v>13838437.978732396</v>
      </c>
      <c r="CF92" s="159">
        <f t="shared" si="330"/>
        <v>242820.26232781299</v>
      </c>
      <c r="CG92" s="159">
        <f t="shared" si="331"/>
        <v>419793.23999999993</v>
      </c>
      <c r="CH92" s="158">
        <f t="shared" si="332"/>
        <v>7049445.3449904174</v>
      </c>
      <c r="CI92" s="157">
        <f t="shared" si="333"/>
        <v>7058261.5694507314</v>
      </c>
      <c r="CK92" s="61">
        <f t="shared" si="334"/>
        <v>1.0346125015015417E-2</v>
      </c>
      <c r="CL92" s="62">
        <f t="shared" si="335"/>
        <v>-0.98245320297702732</v>
      </c>
      <c r="CM92" s="63">
        <f t="shared" si="336"/>
        <v>0.7288229407860094</v>
      </c>
      <c r="CN92" s="61">
        <f t="shared" si="337"/>
        <v>-0.96935084190908449</v>
      </c>
      <c r="CO92" s="29"/>
      <c r="CP92" s="61">
        <f t="shared" si="338"/>
        <v>5.7699503374540927E-3</v>
      </c>
      <c r="CQ92" s="62">
        <f t="shared" si="339"/>
        <v>5.9586270002853839E-3</v>
      </c>
      <c r="CR92" s="63">
        <f t="shared" si="340"/>
        <v>1.0083676146281759E-4</v>
      </c>
      <c r="CS92" s="61">
        <f t="shared" si="341"/>
        <v>1.7345154983373622E-4</v>
      </c>
      <c r="CU92" s="60">
        <f t="shared" si="207"/>
        <v>100</v>
      </c>
      <c r="CV92" s="132">
        <f t="shared" si="208"/>
        <v>101.03461250150154</v>
      </c>
      <c r="CW92" s="132">
        <f t="shared" si="209"/>
        <v>1.7728338378585407</v>
      </c>
      <c r="CX92" s="131">
        <f t="shared" si="210"/>
        <v>3.0649158090915498</v>
      </c>
    </row>
    <row r="93" spans="1:102">
      <c r="A93" s="29">
        <v>320</v>
      </c>
      <c r="B93" s="29" t="s">
        <v>5</v>
      </c>
      <c r="C93" s="55" t="s">
        <v>123</v>
      </c>
      <c r="D93" s="56">
        <v>0</v>
      </c>
      <c r="E93" s="57">
        <f>VLOOKUP(A93,AuxOPEXSaneparOriginal!$B$4:$F$177,3,0)</f>
        <v>0</v>
      </c>
      <c r="F93" s="156">
        <f>VLOOKUP(A93,AuxOPEXSaneparOriginal!$B$4:$F$177,4,0)</f>
        <v>0</v>
      </c>
      <c r="G93" s="57">
        <f>VLOOKUP(A93,AuxOPEXSaneparOriginal!$B$4:$K$177,8,0)</f>
        <v>0</v>
      </c>
      <c r="H93" s="156">
        <f>VLOOKUP(A93,AuxOPEXSaneparOriginal!$B$4:$K$177,9,0)</f>
        <v>0</v>
      </c>
      <c r="I93" s="57">
        <f>VLOOKUP(A93,AuxOPEXSaneparOriginal!$B$4:$N$177,13,0)</f>
        <v>20</v>
      </c>
      <c r="J93" s="57">
        <f>VLOOKUP(A93,AuxOPEXSaneparOriginal!$B$4:$Q$177,16,0)</f>
        <v>3728133.62</v>
      </c>
      <c r="K93" s="57">
        <f>VLOOKUP(A93,AuxOPEXSaneparOriginal!$B$4:$V$177,21,0)</f>
        <v>0</v>
      </c>
      <c r="L93" s="157">
        <f t="shared" si="286"/>
        <v>3728153.62</v>
      </c>
      <c r="M93" s="19">
        <f>VLOOKUP(A93,AuxOPEXSaneparOriginal!$B$4:$AB$177,27,0)</f>
        <v>0</v>
      </c>
      <c r="N93" s="156">
        <f>VLOOKUP(A93,AuxOPEXSaneparOriginal!$B$4:$AC$177,28,0)</f>
        <v>0</v>
      </c>
      <c r="O93" s="156">
        <f>VLOOKUP(A93,AuxOPEXSaneparOriginal!$B$4:$AD$177,29,0)</f>
        <v>0</v>
      </c>
      <c r="P93" s="156">
        <f>VLOOKUP(A93,AuxOPEXSaneparOriginal!$B$4:$AE$177,30,0)</f>
        <v>0</v>
      </c>
      <c r="Q93" s="146">
        <f>VLOOKUP(A93,AuxOPEXSaneparOriginal!$B$4:$AF$177,31,0)</f>
        <v>0</v>
      </c>
      <c r="R93" s="146">
        <f>VLOOKUP(A93,AuxOPEXSaneparOriginal!$B$4:$AG$177,32,0)</f>
        <v>500961.38</v>
      </c>
      <c r="S93" s="146">
        <f>VLOOKUP(A93,AuxOPEXSaneparOriginal!$B$4:$AH$177,33,0)</f>
        <v>0</v>
      </c>
      <c r="T93" s="157">
        <f t="shared" si="287"/>
        <v>500961.38</v>
      </c>
      <c r="U93" s="156">
        <f>VLOOKUP(A93,AuxOPEXSaneparOriginal!$B$4:$AI$177,34,0)</f>
        <v>0</v>
      </c>
      <c r="V93" s="156">
        <f>VLOOKUP(A93,AuxOPEXSaneparOriginal!$B$4:$AJ$177,35,0)</f>
        <v>0</v>
      </c>
      <c r="W93" s="156">
        <f>VLOOKUP(A93,AuxOPEXSaneparOriginal!$B$4:$AK$177,36,0)</f>
        <v>0</v>
      </c>
      <c r="X93" s="19">
        <f>+VLOOKUP(A93,AuxOPEXSaneparOriginal!$B$4:$AL$177,37,0)</f>
        <v>0</v>
      </c>
      <c r="Y93" s="146">
        <f>VLOOKUP(A93,AuxOPEXSaneparOriginal!$B$4:$AM$177,38,0)</f>
        <v>0</v>
      </c>
      <c r="Z93" s="146">
        <f>VLOOKUP(A93,AuxOPEXSaneparOriginal!$B$4:$AN$177,39,0)</f>
        <v>259075.75</v>
      </c>
      <c r="AA93" s="146">
        <f>VLOOKUP(A93,AuxOPEXSaneparOriginal!$B$4:$AO$177,40,0)</f>
        <v>0</v>
      </c>
      <c r="AB93" s="157">
        <f t="shared" si="288"/>
        <v>259075.75</v>
      </c>
      <c r="AC93" s="156">
        <f>VLOOKUP(A93,AuxOPEXSaneparOriginal!$B$4:$AP$177,41,0)</f>
        <v>0</v>
      </c>
      <c r="AD93" s="156">
        <f>+VLOOKUP(A93,AuxOPEXSaneparOriginal!$B$4:$AQ$177,42,0)</f>
        <v>0</v>
      </c>
      <c r="AE93" s="156">
        <f>VLOOKUP(A93,AuxOPEXSaneparOriginal!$B$4:$AR$177,43,0)</f>
        <v>0</v>
      </c>
      <c r="AF93" s="156">
        <f>+VLOOKUP(A93,AuxOPEXSaneparOriginal!$B$4:$AS$177,44,0)</f>
        <v>0</v>
      </c>
      <c r="AG93" s="146">
        <f>VLOOKUP(A93,AuxOPEXSaneparOriginal!$B$4:$AT$177,45,0)</f>
        <v>156.88999999999999</v>
      </c>
      <c r="AH93" s="146">
        <f>VLOOKUP(A93,AuxOPEXSaneparOriginal!$B$4:$AU$177,46,0)</f>
        <v>144428.25</v>
      </c>
      <c r="AI93" s="146">
        <f>VLOOKUP(A93,AuxOPEXSaneparOriginal!$B$4:$AV$177,47,0)</f>
        <v>0</v>
      </c>
      <c r="AJ93" s="157">
        <f t="shared" si="289"/>
        <v>144585.14000000001</v>
      </c>
      <c r="AK93" s="157">
        <f t="shared" si="205"/>
        <v>1158193.9725000001</v>
      </c>
      <c r="AL93" s="157">
        <f t="shared" si="206"/>
        <v>201830.44500000001</v>
      </c>
      <c r="AM93" s="144"/>
      <c r="AN93" s="167">
        <f t="shared" si="290"/>
        <v>0</v>
      </c>
      <c r="AO93" s="168">
        <f t="shared" si="291"/>
        <v>0</v>
      </c>
      <c r="AP93" s="57">
        <f t="shared" si="292"/>
        <v>0</v>
      </c>
      <c r="AQ93" s="57">
        <f t="shared" si="293"/>
        <v>0</v>
      </c>
      <c r="AR93" s="57">
        <f t="shared" si="294"/>
        <v>20</v>
      </c>
      <c r="AS93" s="57">
        <f t="shared" si="295"/>
        <v>3728133.62</v>
      </c>
      <c r="AT93" s="57">
        <f t="shared" si="296"/>
        <v>0</v>
      </c>
      <c r="AU93" s="157">
        <f t="shared" si="297"/>
        <v>3728153.62</v>
      </c>
      <c r="AV93" s="57">
        <f t="shared" si="298"/>
        <v>0</v>
      </c>
      <c r="AW93" s="57">
        <f t="shared" si="299"/>
        <v>0</v>
      </c>
      <c r="AX93" s="57">
        <f t="shared" si="300"/>
        <v>0</v>
      </c>
      <c r="AY93" s="57">
        <f t="shared" si="301"/>
        <v>0</v>
      </c>
      <c r="AZ93" s="57">
        <f t="shared" si="302"/>
        <v>0</v>
      </c>
      <c r="BA93" s="57">
        <f t="shared" si="303"/>
        <v>500961.38</v>
      </c>
      <c r="BB93" s="57">
        <f t="shared" si="304"/>
        <v>0</v>
      </c>
      <c r="BC93" s="157">
        <f t="shared" si="305"/>
        <v>500961.38</v>
      </c>
      <c r="BD93" s="57">
        <f t="shared" si="306"/>
        <v>0</v>
      </c>
      <c r="BE93" s="57">
        <f t="shared" si="307"/>
        <v>0</v>
      </c>
      <c r="BF93" s="57">
        <f t="shared" si="308"/>
        <v>0</v>
      </c>
      <c r="BG93" s="57">
        <f t="shared" si="309"/>
        <v>0</v>
      </c>
      <c r="BH93" s="57">
        <f t="shared" si="310"/>
        <v>0</v>
      </c>
      <c r="BI93" s="57">
        <f t="shared" si="311"/>
        <v>259075.75</v>
      </c>
      <c r="BJ93" s="57">
        <f t="shared" si="312"/>
        <v>0</v>
      </c>
      <c r="BK93" s="157">
        <f t="shared" si="313"/>
        <v>259075.75</v>
      </c>
      <c r="BL93" s="57">
        <f t="shared" si="314"/>
        <v>0</v>
      </c>
      <c r="BM93" s="57">
        <f t="shared" si="315"/>
        <v>0</v>
      </c>
      <c r="BN93" s="57">
        <f t="shared" si="316"/>
        <v>0</v>
      </c>
      <c r="BO93" s="57">
        <f t="shared" si="317"/>
        <v>0</v>
      </c>
      <c r="BP93" s="57">
        <f t="shared" si="318"/>
        <v>156.88999999999999</v>
      </c>
      <c r="BQ93" s="57">
        <f t="shared" si="319"/>
        <v>144428.25</v>
      </c>
      <c r="BR93" s="57">
        <f t="shared" si="320"/>
        <v>0</v>
      </c>
      <c r="BS93" s="157">
        <f t="shared" si="321"/>
        <v>144585.14000000001</v>
      </c>
      <c r="BT93" s="157">
        <f t="shared" si="73"/>
        <v>1158193.9725000001</v>
      </c>
      <c r="BU93" s="157">
        <f t="shared" si="74"/>
        <v>201830.44500000001</v>
      </c>
      <c r="BV93" s="144"/>
      <c r="BW93" s="158">
        <f t="shared" si="322"/>
        <v>3728153.62</v>
      </c>
      <c r="BX93" s="159">
        <f t="shared" si="323"/>
        <v>500961.38</v>
      </c>
      <c r="BY93" s="159">
        <f t="shared" si="324"/>
        <v>259075.75</v>
      </c>
      <c r="BZ93" s="159">
        <f t="shared" si="325"/>
        <v>144585.14000000001</v>
      </c>
      <c r="CA93" s="158">
        <f t="shared" si="326"/>
        <v>1158193.9724999999</v>
      </c>
      <c r="CB93" s="157">
        <f t="shared" si="327"/>
        <v>380018.565</v>
      </c>
      <c r="CC93" s="144"/>
      <c r="CD93" s="158">
        <f t="shared" si="328"/>
        <v>4235137.4016611977</v>
      </c>
      <c r="CE93" s="159">
        <f t="shared" si="329"/>
        <v>546956.79843173397</v>
      </c>
      <c r="CF93" s="159">
        <f t="shared" si="330"/>
        <v>273893.043462175</v>
      </c>
      <c r="CG93" s="159">
        <f t="shared" si="331"/>
        <v>144585.14000000001</v>
      </c>
      <c r="CH93" s="158">
        <f t="shared" si="332"/>
        <v>1300143.0958887765</v>
      </c>
      <c r="CI93" s="157">
        <f t="shared" si="333"/>
        <v>410424.92094695452</v>
      </c>
      <c r="CK93" s="61">
        <f t="shared" si="334"/>
        <v>-0.87085264383224148</v>
      </c>
      <c r="CL93" s="62">
        <f t="shared" si="335"/>
        <v>-0.49924190676942515</v>
      </c>
      <c r="CM93" s="63">
        <f t="shared" si="336"/>
        <v>-0.47211094457765079</v>
      </c>
      <c r="CN93" s="61">
        <f t="shared" si="337"/>
        <v>-0.96586057870441522</v>
      </c>
      <c r="CO93" s="29"/>
      <c r="CP93" s="61">
        <f t="shared" si="338"/>
        <v>1.784114358701006E-3</v>
      </c>
      <c r="CQ93" s="62">
        <f t="shared" si="339"/>
        <v>2.3551151886750125E-4</v>
      </c>
      <c r="CR93" s="63">
        <f t="shared" si="340"/>
        <v>1.1374045652184854E-4</v>
      </c>
      <c r="CS93" s="61">
        <f t="shared" si="341"/>
        <v>5.9740163076298546E-5</v>
      </c>
      <c r="CU93" s="60">
        <f t="shared" si="207"/>
        <v>100</v>
      </c>
      <c r="CV93" s="132">
        <f t="shared" si="208"/>
        <v>12.914735616775848</v>
      </c>
      <c r="CW93" s="132">
        <f t="shared" si="209"/>
        <v>6.4671583820336682</v>
      </c>
      <c r="CX93" s="131">
        <f t="shared" si="210"/>
        <v>3.4139421295584809</v>
      </c>
    </row>
    <row r="94" spans="1:102">
      <c r="A94" s="29">
        <v>321</v>
      </c>
      <c r="B94" s="29" t="s">
        <v>5</v>
      </c>
      <c r="C94" s="55" t="s">
        <v>124</v>
      </c>
      <c r="D94" s="56">
        <v>0</v>
      </c>
      <c r="E94" s="57">
        <f>VLOOKUP(A94,AuxOPEXSaneparOriginal!$B$4:$F$177,3,0)</f>
        <v>0</v>
      </c>
      <c r="F94" s="156">
        <f>VLOOKUP(A94,AuxOPEXSaneparOriginal!$B$4:$F$177,4,0)</f>
        <v>0</v>
      </c>
      <c r="G94" s="57">
        <f>VLOOKUP(A94,AuxOPEXSaneparOriginal!$B$4:$K$177,8,0)</f>
        <v>0</v>
      </c>
      <c r="H94" s="156">
        <f>VLOOKUP(A94,AuxOPEXSaneparOriginal!$B$4:$K$177,9,0)</f>
        <v>0</v>
      </c>
      <c r="I94" s="57">
        <f>VLOOKUP(A94,AuxOPEXSaneparOriginal!$B$4:$N$177,13,0)</f>
        <v>24120665.150000054</v>
      </c>
      <c r="J94" s="57">
        <f>VLOOKUP(A94,AuxOPEXSaneparOriginal!$B$4:$Q$177,16,0)</f>
        <v>400</v>
      </c>
      <c r="K94" s="57">
        <f>VLOOKUP(A94,AuxOPEXSaneparOriginal!$B$4:$V$177,21,0)</f>
        <v>0</v>
      </c>
      <c r="L94" s="157">
        <f t="shared" si="286"/>
        <v>24121065.150000054</v>
      </c>
      <c r="M94" s="19">
        <f>VLOOKUP(A94,AuxOPEXSaneparOriginal!$B$4:$AB$177,27,0)</f>
        <v>0</v>
      </c>
      <c r="N94" s="156">
        <f>VLOOKUP(A94,AuxOPEXSaneparOriginal!$B$4:$AC$177,28,0)</f>
        <v>0</v>
      </c>
      <c r="O94" s="156">
        <f>VLOOKUP(A94,AuxOPEXSaneparOriginal!$B$4:$AD$177,29,0)</f>
        <v>0</v>
      </c>
      <c r="P94" s="156">
        <f>VLOOKUP(A94,AuxOPEXSaneparOriginal!$B$4:$AE$177,30,0)</f>
        <v>0</v>
      </c>
      <c r="Q94" s="146">
        <f>VLOOKUP(A94,AuxOPEXSaneparOriginal!$B$4:$AF$177,31,0)</f>
        <v>31796488.409999982</v>
      </c>
      <c r="R94" s="146">
        <f>VLOOKUP(A94,AuxOPEXSaneparOriginal!$B$4:$AG$177,32,0)</f>
        <v>7335.74</v>
      </c>
      <c r="S94" s="146">
        <f>VLOOKUP(A94,AuxOPEXSaneparOriginal!$B$4:$AH$177,33,0)</f>
        <v>0</v>
      </c>
      <c r="T94" s="157">
        <f t="shared" si="287"/>
        <v>31803824.14999998</v>
      </c>
      <c r="U94" s="156">
        <f>VLOOKUP(A94,AuxOPEXSaneparOriginal!$B$4:$AI$177,34,0)</f>
        <v>0</v>
      </c>
      <c r="V94" s="156">
        <f>VLOOKUP(A94,AuxOPEXSaneparOriginal!$B$4:$AJ$177,35,0)</f>
        <v>0</v>
      </c>
      <c r="W94" s="156">
        <f>VLOOKUP(A94,AuxOPEXSaneparOriginal!$B$4:$AK$177,36,0)</f>
        <v>0</v>
      </c>
      <c r="X94" s="19">
        <f>+VLOOKUP(A94,AuxOPEXSaneparOriginal!$B$4:$AL$177,37,0)</f>
        <v>0</v>
      </c>
      <c r="Y94" s="146">
        <f>VLOOKUP(A94,AuxOPEXSaneparOriginal!$B$4:$AM$177,38,0)</f>
        <v>34895371.169999957</v>
      </c>
      <c r="Z94" s="146">
        <f>VLOOKUP(A94,AuxOPEXSaneparOriginal!$B$4:$AN$177,39,0)</f>
        <v>0</v>
      </c>
      <c r="AA94" s="146">
        <f>VLOOKUP(A94,AuxOPEXSaneparOriginal!$B$4:$AO$177,40,0)</f>
        <v>0</v>
      </c>
      <c r="AB94" s="157">
        <f t="shared" si="288"/>
        <v>34895371.169999957</v>
      </c>
      <c r="AC94" s="156">
        <f>VLOOKUP(A94,AuxOPEXSaneparOriginal!$B$4:$AP$177,41,0)</f>
        <v>0</v>
      </c>
      <c r="AD94" s="156">
        <f>+VLOOKUP(A94,AuxOPEXSaneparOriginal!$B$4:$AQ$177,42,0)</f>
        <v>0</v>
      </c>
      <c r="AE94" s="156">
        <f>VLOOKUP(A94,AuxOPEXSaneparOriginal!$B$4:$AR$177,43,0)</f>
        <v>0</v>
      </c>
      <c r="AF94" s="156">
        <f>+VLOOKUP(A94,AuxOPEXSaneparOriginal!$B$4:$AS$177,44,0)</f>
        <v>0</v>
      </c>
      <c r="AG94" s="146">
        <f>VLOOKUP(A94,AuxOPEXSaneparOriginal!$B$4:$AT$177,45,0)</f>
        <v>34360825.850000113</v>
      </c>
      <c r="AH94" s="146">
        <f>VLOOKUP(A94,AuxOPEXSaneparOriginal!$B$4:$AU$177,46,0)</f>
        <v>0</v>
      </c>
      <c r="AI94" s="146">
        <f>VLOOKUP(A94,AuxOPEXSaneparOriginal!$B$4:$AV$177,47,0)</f>
        <v>0</v>
      </c>
      <c r="AJ94" s="157">
        <f t="shared" si="289"/>
        <v>34360825.850000113</v>
      </c>
      <c r="AK94" s="157">
        <f t="shared" si="205"/>
        <v>31295271.580000024</v>
      </c>
      <c r="AL94" s="157">
        <f t="shared" si="206"/>
        <v>34628098.510000035</v>
      </c>
      <c r="AM94" s="144"/>
      <c r="AN94" s="167">
        <f t="shared" si="290"/>
        <v>0</v>
      </c>
      <c r="AO94" s="168">
        <f t="shared" si="291"/>
        <v>0</v>
      </c>
      <c r="AP94" s="57">
        <f t="shared" si="292"/>
        <v>0</v>
      </c>
      <c r="AQ94" s="57">
        <f t="shared" si="293"/>
        <v>0</v>
      </c>
      <c r="AR94" s="57">
        <f t="shared" si="294"/>
        <v>24120665.150000054</v>
      </c>
      <c r="AS94" s="57">
        <f t="shared" si="295"/>
        <v>400</v>
      </c>
      <c r="AT94" s="57">
        <f t="shared" si="296"/>
        <v>0</v>
      </c>
      <c r="AU94" s="157">
        <f t="shared" si="297"/>
        <v>24121065.150000054</v>
      </c>
      <c r="AV94" s="57">
        <f t="shared" si="298"/>
        <v>0</v>
      </c>
      <c r="AW94" s="57">
        <f t="shared" si="299"/>
        <v>0</v>
      </c>
      <c r="AX94" s="57">
        <f t="shared" si="300"/>
        <v>0</v>
      </c>
      <c r="AY94" s="57">
        <f t="shared" si="301"/>
        <v>0</v>
      </c>
      <c r="AZ94" s="57">
        <f t="shared" si="302"/>
        <v>31796488.409999982</v>
      </c>
      <c r="BA94" s="57">
        <f t="shared" si="303"/>
        <v>7335.74</v>
      </c>
      <c r="BB94" s="57">
        <f t="shared" si="304"/>
        <v>0</v>
      </c>
      <c r="BC94" s="157">
        <f t="shared" si="305"/>
        <v>31803824.14999998</v>
      </c>
      <c r="BD94" s="57">
        <f t="shared" si="306"/>
        <v>0</v>
      </c>
      <c r="BE94" s="57">
        <f t="shared" si="307"/>
        <v>0</v>
      </c>
      <c r="BF94" s="57">
        <f t="shared" si="308"/>
        <v>0</v>
      </c>
      <c r="BG94" s="57">
        <f t="shared" si="309"/>
        <v>0</v>
      </c>
      <c r="BH94" s="57">
        <f t="shared" si="310"/>
        <v>34895371.169999957</v>
      </c>
      <c r="BI94" s="57">
        <f t="shared" si="311"/>
        <v>0</v>
      </c>
      <c r="BJ94" s="57">
        <f t="shared" si="312"/>
        <v>0</v>
      </c>
      <c r="BK94" s="157">
        <f t="shared" si="313"/>
        <v>34895371.169999957</v>
      </c>
      <c r="BL94" s="57">
        <f t="shared" si="314"/>
        <v>0</v>
      </c>
      <c r="BM94" s="57">
        <f t="shared" si="315"/>
        <v>0</v>
      </c>
      <c r="BN94" s="57">
        <f t="shared" si="316"/>
        <v>0</v>
      </c>
      <c r="BO94" s="57">
        <f t="shared" si="317"/>
        <v>0</v>
      </c>
      <c r="BP94" s="57">
        <f t="shared" si="318"/>
        <v>34360825.850000113</v>
      </c>
      <c r="BQ94" s="57">
        <f t="shared" si="319"/>
        <v>0</v>
      </c>
      <c r="BR94" s="57">
        <f t="shared" si="320"/>
        <v>0</v>
      </c>
      <c r="BS94" s="157">
        <f t="shared" si="321"/>
        <v>34360825.850000113</v>
      </c>
      <c r="BT94" s="157">
        <f t="shared" si="73"/>
        <v>31295271.580000024</v>
      </c>
      <c r="BU94" s="157">
        <f t="shared" si="74"/>
        <v>34628098.510000035</v>
      </c>
      <c r="BV94" s="144"/>
      <c r="BW94" s="158">
        <f t="shared" si="322"/>
        <v>24121065.150000054</v>
      </c>
      <c r="BX94" s="159">
        <f t="shared" si="323"/>
        <v>31803824.14999998</v>
      </c>
      <c r="BY94" s="159">
        <f t="shared" si="324"/>
        <v>34895371.169999957</v>
      </c>
      <c r="BZ94" s="159">
        <f t="shared" si="325"/>
        <v>34360825.850000113</v>
      </c>
      <c r="CA94" s="158">
        <f t="shared" si="326"/>
        <v>31295271.580000028</v>
      </c>
      <c r="CB94" s="157">
        <f t="shared" si="327"/>
        <v>33082325.000000045</v>
      </c>
      <c r="CC94" s="144"/>
      <c r="CD94" s="158">
        <f t="shared" si="328"/>
        <v>27401238.145511746</v>
      </c>
      <c r="CE94" s="159">
        <f t="shared" si="329"/>
        <v>34723870.001655325</v>
      </c>
      <c r="CF94" s="159">
        <f t="shared" si="330"/>
        <v>36891138.643788651</v>
      </c>
      <c r="CG94" s="159">
        <f t="shared" si="331"/>
        <v>34360825.850000113</v>
      </c>
      <c r="CH94" s="158">
        <f t="shared" si="332"/>
        <v>33344268.160238959</v>
      </c>
      <c r="CI94" s="157">
        <f t="shared" si="333"/>
        <v>34542347.925827719</v>
      </c>
      <c r="CK94" s="61">
        <f t="shared" si="334"/>
        <v>0.26723726195354458</v>
      </c>
      <c r="CL94" s="62">
        <f t="shared" si="335"/>
        <v>6.2414374953886353E-2</v>
      </c>
      <c r="CM94" s="63">
        <f t="shared" si="336"/>
        <v>-6.8588633661340381E-2</v>
      </c>
      <c r="CN94" s="61">
        <f t="shared" si="337"/>
        <v>0.25398807409833513</v>
      </c>
      <c r="CO94" s="29"/>
      <c r="CP94" s="61">
        <f t="shared" si="338"/>
        <v>1.154317741908863E-2</v>
      </c>
      <c r="CQ94" s="62">
        <f t="shared" si="339"/>
        <v>1.4951585552086696E-2</v>
      </c>
      <c r="CR94" s="63">
        <f t="shared" si="340"/>
        <v>1.5319903338599415E-2</v>
      </c>
      <c r="CS94" s="61">
        <f t="shared" si="341"/>
        <v>1.4197318892628255E-2</v>
      </c>
      <c r="CU94" s="60">
        <f t="shared" si="207"/>
        <v>100</v>
      </c>
      <c r="CV94" s="132">
        <f t="shared" si="208"/>
        <v>126.72372619535446</v>
      </c>
      <c r="CW94" s="132">
        <f t="shared" si="209"/>
        <v>134.63310835766495</v>
      </c>
      <c r="CX94" s="131">
        <f t="shared" si="210"/>
        <v>125.39880740983351</v>
      </c>
    </row>
    <row r="95" spans="1:102">
      <c r="A95" s="29">
        <v>322</v>
      </c>
      <c r="B95" s="29" t="s">
        <v>5</v>
      </c>
      <c r="C95" s="55" t="s">
        <v>125</v>
      </c>
      <c r="D95" s="56">
        <v>0</v>
      </c>
      <c r="E95" s="57">
        <f>VLOOKUP(A95,AuxOPEXSaneparOriginal!$B$4:$F$177,3,0)</f>
        <v>0</v>
      </c>
      <c r="F95" s="156">
        <f>VLOOKUP(A95,AuxOPEXSaneparOriginal!$B$4:$F$177,4,0)</f>
        <v>0</v>
      </c>
      <c r="G95" s="57">
        <f>VLOOKUP(A95,AuxOPEXSaneparOriginal!$B$4:$K$177,8,0)</f>
        <v>0</v>
      </c>
      <c r="H95" s="156">
        <f>VLOOKUP(A95,AuxOPEXSaneparOriginal!$B$4:$K$177,9,0)</f>
        <v>0</v>
      </c>
      <c r="I95" s="57">
        <f>VLOOKUP(A95,AuxOPEXSaneparOriginal!$B$4:$N$177,13,0)</f>
        <v>0</v>
      </c>
      <c r="J95" s="57">
        <f>VLOOKUP(A95,AuxOPEXSaneparOriginal!$B$4:$Q$177,16,0)</f>
        <v>7080737</v>
      </c>
      <c r="K95" s="57">
        <f>VLOOKUP(A95,AuxOPEXSaneparOriginal!$B$4:$V$177,21,0)</f>
        <v>0</v>
      </c>
      <c r="L95" s="157">
        <f t="shared" si="286"/>
        <v>7080737</v>
      </c>
      <c r="M95" s="19">
        <f>VLOOKUP(A95,AuxOPEXSaneparOriginal!$B$4:$AB$177,27,0)</f>
        <v>0</v>
      </c>
      <c r="N95" s="156">
        <f>VLOOKUP(A95,AuxOPEXSaneparOriginal!$B$4:$AC$177,28,0)</f>
        <v>0</v>
      </c>
      <c r="O95" s="156">
        <f>VLOOKUP(A95,AuxOPEXSaneparOriginal!$B$4:$AD$177,29,0)</f>
        <v>0</v>
      </c>
      <c r="P95" s="156">
        <f>VLOOKUP(A95,AuxOPEXSaneparOriginal!$B$4:$AE$177,30,0)</f>
        <v>0</v>
      </c>
      <c r="Q95" s="146">
        <f>VLOOKUP(A95,AuxOPEXSaneparOriginal!$B$4:$AF$177,31,0)</f>
        <v>0</v>
      </c>
      <c r="R95" s="146">
        <f>VLOOKUP(A95,AuxOPEXSaneparOriginal!$B$4:$AG$177,32,0)</f>
        <v>8217381.9700000007</v>
      </c>
      <c r="S95" s="146">
        <f>VLOOKUP(A95,AuxOPEXSaneparOriginal!$B$4:$AH$177,33,0)</f>
        <v>0</v>
      </c>
      <c r="T95" s="157">
        <f t="shared" si="287"/>
        <v>8217381.9700000007</v>
      </c>
      <c r="U95" s="156">
        <f>VLOOKUP(A95,AuxOPEXSaneparOriginal!$B$4:$AI$177,34,0)</f>
        <v>0</v>
      </c>
      <c r="V95" s="156">
        <f>VLOOKUP(A95,AuxOPEXSaneparOriginal!$B$4:$AJ$177,35,0)</f>
        <v>0</v>
      </c>
      <c r="W95" s="156">
        <f>VLOOKUP(A95,AuxOPEXSaneparOriginal!$B$4:$AK$177,36,0)</f>
        <v>0</v>
      </c>
      <c r="X95" s="19">
        <f>+VLOOKUP(A95,AuxOPEXSaneparOriginal!$B$4:$AL$177,37,0)</f>
        <v>0</v>
      </c>
      <c r="Y95" s="146">
        <f>VLOOKUP(A95,AuxOPEXSaneparOriginal!$B$4:$AM$177,38,0)</f>
        <v>0</v>
      </c>
      <c r="Z95" s="146">
        <f>VLOOKUP(A95,AuxOPEXSaneparOriginal!$B$4:$AN$177,39,0)</f>
        <v>11336838.370000001</v>
      </c>
      <c r="AA95" s="146">
        <f>VLOOKUP(A95,AuxOPEXSaneparOriginal!$B$4:$AO$177,40,0)</f>
        <v>0</v>
      </c>
      <c r="AB95" s="157">
        <f t="shared" si="288"/>
        <v>11336838.370000001</v>
      </c>
      <c r="AC95" s="156">
        <f>VLOOKUP(A95,AuxOPEXSaneparOriginal!$B$4:$AP$177,41,0)</f>
        <v>0</v>
      </c>
      <c r="AD95" s="156">
        <f>+VLOOKUP(A95,AuxOPEXSaneparOriginal!$B$4:$AQ$177,42,0)</f>
        <v>0</v>
      </c>
      <c r="AE95" s="156">
        <f>VLOOKUP(A95,AuxOPEXSaneparOriginal!$B$4:$AR$177,43,0)</f>
        <v>0</v>
      </c>
      <c r="AF95" s="156">
        <f>+VLOOKUP(A95,AuxOPEXSaneparOriginal!$B$4:$AS$177,44,0)</f>
        <v>0</v>
      </c>
      <c r="AG95" s="146">
        <f>VLOOKUP(A95,AuxOPEXSaneparOriginal!$B$4:$AT$177,45,0)</f>
        <v>0</v>
      </c>
      <c r="AH95" s="146">
        <f>VLOOKUP(A95,AuxOPEXSaneparOriginal!$B$4:$AU$177,46,0)</f>
        <v>11004628.02</v>
      </c>
      <c r="AI95" s="146">
        <f>VLOOKUP(A95,AuxOPEXSaneparOriginal!$B$4:$AV$177,47,0)</f>
        <v>0</v>
      </c>
      <c r="AJ95" s="157">
        <f t="shared" si="289"/>
        <v>11004628.02</v>
      </c>
      <c r="AK95" s="157">
        <f t="shared" si="205"/>
        <v>9409896.3399999999</v>
      </c>
      <c r="AL95" s="157">
        <f t="shared" si="206"/>
        <v>11170733.195</v>
      </c>
      <c r="AM95" s="144"/>
      <c r="AN95" s="167">
        <f t="shared" si="290"/>
        <v>0</v>
      </c>
      <c r="AO95" s="168">
        <f t="shared" si="291"/>
        <v>0</v>
      </c>
      <c r="AP95" s="57">
        <f t="shared" si="292"/>
        <v>0</v>
      </c>
      <c r="AQ95" s="57">
        <f t="shared" si="293"/>
        <v>0</v>
      </c>
      <c r="AR95" s="57">
        <f t="shared" si="294"/>
        <v>0</v>
      </c>
      <c r="AS95" s="57">
        <f t="shared" si="295"/>
        <v>7080737</v>
      </c>
      <c r="AT95" s="57">
        <f t="shared" si="296"/>
        <v>0</v>
      </c>
      <c r="AU95" s="157">
        <f t="shared" si="297"/>
        <v>7080737</v>
      </c>
      <c r="AV95" s="57">
        <f t="shared" si="298"/>
        <v>0</v>
      </c>
      <c r="AW95" s="57">
        <f t="shared" si="299"/>
        <v>0</v>
      </c>
      <c r="AX95" s="57">
        <f t="shared" si="300"/>
        <v>0</v>
      </c>
      <c r="AY95" s="57">
        <f t="shared" si="301"/>
        <v>0</v>
      </c>
      <c r="AZ95" s="57">
        <f t="shared" si="302"/>
        <v>0</v>
      </c>
      <c r="BA95" s="57">
        <f t="shared" si="303"/>
        <v>8217381.9700000007</v>
      </c>
      <c r="BB95" s="57">
        <f t="shared" si="304"/>
        <v>0</v>
      </c>
      <c r="BC95" s="157">
        <f t="shared" si="305"/>
        <v>8217381.9700000007</v>
      </c>
      <c r="BD95" s="57">
        <f t="shared" si="306"/>
        <v>0</v>
      </c>
      <c r="BE95" s="57">
        <f t="shared" si="307"/>
        <v>0</v>
      </c>
      <c r="BF95" s="57">
        <f t="shared" si="308"/>
        <v>0</v>
      </c>
      <c r="BG95" s="57">
        <f t="shared" si="309"/>
        <v>0</v>
      </c>
      <c r="BH95" s="57">
        <f t="shared" si="310"/>
        <v>0</v>
      </c>
      <c r="BI95" s="57">
        <f t="shared" si="311"/>
        <v>11336838.370000001</v>
      </c>
      <c r="BJ95" s="57">
        <f t="shared" si="312"/>
        <v>0</v>
      </c>
      <c r="BK95" s="157">
        <f t="shared" si="313"/>
        <v>11336838.370000001</v>
      </c>
      <c r="BL95" s="57">
        <f t="shared" si="314"/>
        <v>0</v>
      </c>
      <c r="BM95" s="57">
        <f t="shared" si="315"/>
        <v>0</v>
      </c>
      <c r="BN95" s="57">
        <f t="shared" si="316"/>
        <v>0</v>
      </c>
      <c r="BO95" s="57">
        <f t="shared" si="317"/>
        <v>0</v>
      </c>
      <c r="BP95" s="57">
        <f t="shared" si="318"/>
        <v>0</v>
      </c>
      <c r="BQ95" s="57">
        <f t="shared" si="319"/>
        <v>11004628.02</v>
      </c>
      <c r="BR95" s="57">
        <f t="shared" si="320"/>
        <v>0</v>
      </c>
      <c r="BS95" s="157">
        <f t="shared" si="321"/>
        <v>11004628.02</v>
      </c>
      <c r="BT95" s="157">
        <f t="shared" si="73"/>
        <v>9409896.3399999999</v>
      </c>
      <c r="BU95" s="157">
        <f t="shared" si="74"/>
        <v>11170733.195</v>
      </c>
      <c r="BV95" s="144"/>
      <c r="BW95" s="158">
        <f t="shared" si="322"/>
        <v>7080737</v>
      </c>
      <c r="BX95" s="159">
        <f t="shared" si="323"/>
        <v>8217381.9700000007</v>
      </c>
      <c r="BY95" s="159">
        <f t="shared" si="324"/>
        <v>11336838.370000001</v>
      </c>
      <c r="BZ95" s="159">
        <f t="shared" si="325"/>
        <v>11004628.02</v>
      </c>
      <c r="CA95" s="158">
        <f t="shared" si="326"/>
        <v>9409896.3399999999</v>
      </c>
      <c r="CB95" s="157">
        <f t="shared" si="327"/>
        <v>9611004.995000001</v>
      </c>
      <c r="CC95" s="144"/>
      <c r="CD95" s="158">
        <f t="shared" si="328"/>
        <v>8043631.5550822997</v>
      </c>
      <c r="CE95" s="159">
        <f t="shared" si="329"/>
        <v>8971855.1434081718</v>
      </c>
      <c r="CF95" s="159">
        <f t="shared" si="330"/>
        <v>11985225.033211574</v>
      </c>
      <c r="CG95" s="159">
        <f t="shared" si="331"/>
        <v>11004628.02</v>
      </c>
      <c r="CH95" s="158">
        <f t="shared" si="332"/>
        <v>10001334.93792551</v>
      </c>
      <c r="CI95" s="157">
        <f t="shared" si="333"/>
        <v>9988241.5817040857</v>
      </c>
      <c r="CK95" s="61">
        <f t="shared" si="334"/>
        <v>0.11539857115153196</v>
      </c>
      <c r="CL95" s="62">
        <f t="shared" si="335"/>
        <v>0.33586920894698058</v>
      </c>
      <c r="CM95" s="63">
        <f t="shared" si="336"/>
        <v>-8.1817154913178314E-2</v>
      </c>
      <c r="CN95" s="61">
        <f t="shared" si="337"/>
        <v>0.36811686918290287</v>
      </c>
      <c r="CO95" s="29"/>
      <c r="CP95" s="61">
        <f t="shared" si="338"/>
        <v>3.3884989299033997E-3</v>
      </c>
      <c r="CQ95" s="62">
        <f t="shared" si="339"/>
        <v>3.8631483106923727E-3</v>
      </c>
      <c r="CR95" s="63">
        <f t="shared" si="340"/>
        <v>4.9771434482702819E-3</v>
      </c>
      <c r="CS95" s="61">
        <f t="shared" si="341"/>
        <v>4.5469283531406083E-3</v>
      </c>
      <c r="CU95" s="60">
        <f t="shared" si="207"/>
        <v>100</v>
      </c>
      <c r="CV95" s="132">
        <f t="shared" si="208"/>
        <v>111.5398571151532</v>
      </c>
      <c r="CW95" s="132">
        <f t="shared" si="209"/>
        <v>149.00266069047893</v>
      </c>
      <c r="CX95" s="131">
        <f t="shared" si="210"/>
        <v>136.81168691829029</v>
      </c>
    </row>
    <row r="96" spans="1:102">
      <c r="A96" s="29">
        <v>323</v>
      </c>
      <c r="B96" s="29" t="s">
        <v>5</v>
      </c>
      <c r="C96" s="55" t="s">
        <v>126</v>
      </c>
      <c r="D96" s="56">
        <v>0</v>
      </c>
      <c r="E96" s="57">
        <f>VLOOKUP(A96,AuxOPEXSaneparOriginal!$B$4:$F$177,3,0)</f>
        <v>230295.54999999996</v>
      </c>
      <c r="F96" s="156">
        <f>VLOOKUP(A96,AuxOPEXSaneparOriginal!$B$4:$F$177,4,0)</f>
        <v>625185.59000000008</v>
      </c>
      <c r="G96" s="57">
        <f>VLOOKUP(A96,AuxOPEXSaneparOriginal!$B$4:$K$177,8,0)</f>
        <v>560338.55999999994</v>
      </c>
      <c r="H96" s="156">
        <f>VLOOKUP(A96,AuxOPEXSaneparOriginal!$B$4:$K$177,9,0)</f>
        <v>124110.26000000001</v>
      </c>
      <c r="I96" s="57">
        <f>VLOOKUP(A96,AuxOPEXSaneparOriginal!$B$4:$N$177,13,0)</f>
        <v>158201.20999999993</v>
      </c>
      <c r="J96" s="57">
        <f>VLOOKUP(A96,AuxOPEXSaneparOriginal!$B$4:$Q$177,16,0)</f>
        <v>919917.21</v>
      </c>
      <c r="K96" s="57">
        <f>VLOOKUP(A96,AuxOPEXSaneparOriginal!$B$4:$V$177,21,0)</f>
        <v>0</v>
      </c>
      <c r="L96" s="157">
        <f t="shared" si="286"/>
        <v>2618048.38</v>
      </c>
      <c r="M96" s="19">
        <f>VLOOKUP(A96,AuxOPEXSaneparOriginal!$B$4:$AB$177,27,0)</f>
        <v>164790.84</v>
      </c>
      <c r="N96" s="156">
        <f>VLOOKUP(A96,AuxOPEXSaneparOriginal!$B$4:$AC$177,28,0)</f>
        <v>465210.64999999991</v>
      </c>
      <c r="O96" s="156">
        <f>VLOOKUP(A96,AuxOPEXSaneparOriginal!$B$4:$AD$177,29,0)</f>
        <v>516370.04000000004</v>
      </c>
      <c r="P96" s="156">
        <f>VLOOKUP(A96,AuxOPEXSaneparOriginal!$B$4:$AE$177,30,0)</f>
        <v>141598.25999999998</v>
      </c>
      <c r="Q96" s="146">
        <f>VLOOKUP(A96,AuxOPEXSaneparOriginal!$B$4:$AF$177,31,0)</f>
        <v>113837.34</v>
      </c>
      <c r="R96" s="146">
        <f>VLOOKUP(A96,AuxOPEXSaneparOriginal!$B$4:$AG$177,32,0)</f>
        <v>926248.95999999985</v>
      </c>
      <c r="S96" s="146">
        <f>VLOOKUP(A96,AuxOPEXSaneparOriginal!$B$4:$AH$177,33,0)</f>
        <v>0</v>
      </c>
      <c r="T96" s="157">
        <f t="shared" si="287"/>
        <v>2328056.09</v>
      </c>
      <c r="U96" s="156">
        <f>VLOOKUP(A96,AuxOPEXSaneparOriginal!$B$4:$AI$177,34,0)</f>
        <v>228514.67999999993</v>
      </c>
      <c r="V96" s="156">
        <f>VLOOKUP(A96,AuxOPEXSaneparOriginal!$B$4:$AJ$177,35,0)</f>
        <v>381792.58999999979</v>
      </c>
      <c r="W96" s="156">
        <f>VLOOKUP(A96,AuxOPEXSaneparOriginal!$B$4:$AK$177,36,0)</f>
        <v>507025.53</v>
      </c>
      <c r="X96" s="19">
        <f>+VLOOKUP(A96,AuxOPEXSaneparOriginal!$B$4:$AL$177,37,0)</f>
        <v>114325.58</v>
      </c>
      <c r="Y96" s="146">
        <f>VLOOKUP(A96,AuxOPEXSaneparOriginal!$B$4:$AM$177,38,0)</f>
        <v>116456.33000000006</v>
      </c>
      <c r="Z96" s="146">
        <f>VLOOKUP(A96,AuxOPEXSaneparOriginal!$B$4:$AN$177,39,0)</f>
        <v>948565.74999999965</v>
      </c>
      <c r="AA96" s="146">
        <f>VLOOKUP(A96,AuxOPEXSaneparOriginal!$B$4:$AO$177,40,0)</f>
        <v>0</v>
      </c>
      <c r="AB96" s="157">
        <f t="shared" si="288"/>
        <v>2296680.4599999995</v>
      </c>
      <c r="AC96" s="156">
        <f>VLOOKUP(A96,AuxOPEXSaneparOriginal!$B$4:$AP$177,41,0)</f>
        <v>89694.9</v>
      </c>
      <c r="AD96" s="156">
        <f>+VLOOKUP(A96,AuxOPEXSaneparOriginal!$B$4:$AQ$177,42,0)</f>
        <v>273228.90999999997</v>
      </c>
      <c r="AE96" s="156">
        <f>VLOOKUP(A96,AuxOPEXSaneparOriginal!$B$4:$AR$177,43,0)</f>
        <v>612566.32000000018</v>
      </c>
      <c r="AF96" s="156">
        <f>+VLOOKUP(A96,AuxOPEXSaneparOriginal!$B$4:$AS$177,44,0)</f>
        <v>112488.25999999998</v>
      </c>
      <c r="AG96" s="146">
        <f>VLOOKUP(A96,AuxOPEXSaneparOriginal!$B$4:$AT$177,45,0)</f>
        <v>40974.419999999991</v>
      </c>
      <c r="AH96" s="146">
        <f>VLOOKUP(A96,AuxOPEXSaneparOriginal!$B$4:$AU$177,46,0)</f>
        <v>889289.88</v>
      </c>
      <c r="AI96" s="146">
        <f>VLOOKUP(A96,AuxOPEXSaneparOriginal!$B$4:$AV$177,47,0)</f>
        <v>0</v>
      </c>
      <c r="AJ96" s="157">
        <f t="shared" si="289"/>
        <v>2018242.69</v>
      </c>
      <c r="AK96" s="157">
        <f t="shared" si="205"/>
        <v>2315256.9049999998</v>
      </c>
      <c r="AL96" s="157">
        <f t="shared" si="206"/>
        <v>2157461.5749999997</v>
      </c>
      <c r="AM96" s="144"/>
      <c r="AN96" s="167">
        <f t="shared" si="290"/>
        <v>230295.54999999996</v>
      </c>
      <c r="AO96" s="168">
        <f t="shared" si="291"/>
        <v>625185.59000000008</v>
      </c>
      <c r="AP96" s="57">
        <f t="shared" si="292"/>
        <v>560338.55999999994</v>
      </c>
      <c r="AQ96" s="57">
        <f t="shared" si="293"/>
        <v>124110.26000000001</v>
      </c>
      <c r="AR96" s="57">
        <f t="shared" si="294"/>
        <v>158201.20999999993</v>
      </c>
      <c r="AS96" s="57">
        <f t="shared" si="295"/>
        <v>919917.21</v>
      </c>
      <c r="AT96" s="57">
        <f t="shared" si="296"/>
        <v>0</v>
      </c>
      <c r="AU96" s="157">
        <f t="shared" si="297"/>
        <v>2618048.38</v>
      </c>
      <c r="AV96" s="57">
        <f t="shared" si="298"/>
        <v>164790.84</v>
      </c>
      <c r="AW96" s="57">
        <f t="shared" si="299"/>
        <v>465210.64999999991</v>
      </c>
      <c r="AX96" s="57">
        <f t="shared" si="300"/>
        <v>516370.04000000004</v>
      </c>
      <c r="AY96" s="57">
        <f t="shared" si="301"/>
        <v>141598.25999999998</v>
      </c>
      <c r="AZ96" s="57">
        <f t="shared" si="302"/>
        <v>113837.34</v>
      </c>
      <c r="BA96" s="57">
        <f t="shared" si="303"/>
        <v>926248.95999999985</v>
      </c>
      <c r="BB96" s="57">
        <f t="shared" si="304"/>
        <v>0</v>
      </c>
      <c r="BC96" s="157">
        <f t="shared" si="305"/>
        <v>2328056.09</v>
      </c>
      <c r="BD96" s="57">
        <f t="shared" si="306"/>
        <v>228514.67999999993</v>
      </c>
      <c r="BE96" s="57">
        <f t="shared" si="307"/>
        <v>381792.58999999979</v>
      </c>
      <c r="BF96" s="57">
        <f t="shared" si="308"/>
        <v>507025.53</v>
      </c>
      <c r="BG96" s="57">
        <f t="shared" si="309"/>
        <v>114325.58</v>
      </c>
      <c r="BH96" s="57">
        <f t="shared" si="310"/>
        <v>116456.33000000006</v>
      </c>
      <c r="BI96" s="57">
        <f t="shared" si="311"/>
        <v>948565.74999999965</v>
      </c>
      <c r="BJ96" s="57">
        <f t="shared" si="312"/>
        <v>0</v>
      </c>
      <c r="BK96" s="157">
        <f t="shared" si="313"/>
        <v>2296680.4599999995</v>
      </c>
      <c r="BL96" s="57">
        <f t="shared" si="314"/>
        <v>89694.9</v>
      </c>
      <c r="BM96" s="57">
        <f t="shared" si="315"/>
        <v>273228.90999999997</v>
      </c>
      <c r="BN96" s="57">
        <f t="shared" si="316"/>
        <v>612566.32000000018</v>
      </c>
      <c r="BO96" s="57">
        <f t="shared" si="317"/>
        <v>112488.25999999998</v>
      </c>
      <c r="BP96" s="57">
        <f t="shared" si="318"/>
        <v>40974.419999999991</v>
      </c>
      <c r="BQ96" s="57">
        <f t="shared" si="319"/>
        <v>889289.88</v>
      </c>
      <c r="BR96" s="57">
        <f t="shared" si="320"/>
        <v>0</v>
      </c>
      <c r="BS96" s="157">
        <f t="shared" si="321"/>
        <v>2018242.69</v>
      </c>
      <c r="BT96" s="157">
        <f t="shared" si="73"/>
        <v>2315256.9049999998</v>
      </c>
      <c r="BU96" s="157">
        <f t="shared" si="74"/>
        <v>2157461.5749999997</v>
      </c>
      <c r="BV96" s="144"/>
      <c r="BW96" s="158">
        <f t="shared" si="322"/>
        <v>2618048.38</v>
      </c>
      <c r="BX96" s="159">
        <f t="shared" si="323"/>
        <v>2328056.09</v>
      </c>
      <c r="BY96" s="159">
        <f t="shared" si="324"/>
        <v>2296680.4599999995</v>
      </c>
      <c r="BZ96" s="159">
        <f t="shared" si="325"/>
        <v>2018242.69</v>
      </c>
      <c r="CA96" s="158">
        <f t="shared" si="326"/>
        <v>2315256.9049999998</v>
      </c>
      <c r="CB96" s="157">
        <f t="shared" si="327"/>
        <v>2312368.2749999994</v>
      </c>
      <c r="CC96" s="144"/>
      <c r="CD96" s="158">
        <f t="shared" si="328"/>
        <v>2974071.2812946015</v>
      </c>
      <c r="CE96" s="159">
        <f t="shared" si="329"/>
        <v>2541804.9302640869</v>
      </c>
      <c r="CF96" s="159">
        <f t="shared" si="330"/>
        <v>2428034.2758807335</v>
      </c>
      <c r="CG96" s="159">
        <f t="shared" si="331"/>
        <v>2018242.69</v>
      </c>
      <c r="CH96" s="158">
        <f t="shared" si="332"/>
        <v>2490538.2943598554</v>
      </c>
      <c r="CI96" s="157">
        <f t="shared" si="333"/>
        <v>2484919.6030724104</v>
      </c>
      <c r="CK96" s="61">
        <f t="shared" si="334"/>
        <v>-0.14534498676923124</v>
      </c>
      <c r="CL96" s="62">
        <f t="shared" si="335"/>
        <v>-4.4759789796903426E-2</v>
      </c>
      <c r="CM96" s="63">
        <f t="shared" si="336"/>
        <v>-0.16877504158465295</v>
      </c>
      <c r="CN96" s="61">
        <f t="shared" si="337"/>
        <v>-0.32138725030105297</v>
      </c>
      <c r="CO96" s="29"/>
      <c r="CP96" s="61">
        <f t="shared" si="338"/>
        <v>1.2528715773605667E-3</v>
      </c>
      <c r="CQ96" s="62">
        <f t="shared" si="339"/>
        <v>1.0944636605812533E-3</v>
      </c>
      <c r="CR96" s="63">
        <f t="shared" si="340"/>
        <v>1.008297704455971E-3</v>
      </c>
      <c r="CS96" s="61">
        <f t="shared" si="341"/>
        <v>8.3390414414750676E-4</v>
      </c>
      <c r="CU96" s="60">
        <f t="shared" si="207"/>
        <v>100</v>
      </c>
      <c r="CV96" s="132">
        <f t="shared" si="208"/>
        <v>85.465501323076879</v>
      </c>
      <c r="CW96" s="132">
        <f t="shared" si="209"/>
        <v>81.64008344896898</v>
      </c>
      <c r="CX96" s="131">
        <f t="shared" si="210"/>
        <v>67.861274969894708</v>
      </c>
    </row>
    <row r="97" spans="1:102">
      <c r="A97" s="29">
        <v>324</v>
      </c>
      <c r="B97" s="29" t="s">
        <v>5</v>
      </c>
      <c r="C97" s="55" t="s">
        <v>127</v>
      </c>
      <c r="D97" s="56">
        <v>0</v>
      </c>
      <c r="E97" s="57">
        <f>VLOOKUP(A97,AuxOPEXSaneparOriginal!$B$4:$F$177,3,0)</f>
        <v>8945</v>
      </c>
      <c r="F97" s="156">
        <f>VLOOKUP(A97,AuxOPEXSaneparOriginal!$B$4:$F$177,4,0)</f>
        <v>11693.800000000001</v>
      </c>
      <c r="G97" s="57">
        <f>VLOOKUP(A97,AuxOPEXSaneparOriginal!$B$4:$K$177,8,0)</f>
        <v>10.5</v>
      </c>
      <c r="H97" s="156">
        <f>VLOOKUP(A97,AuxOPEXSaneparOriginal!$B$4:$K$177,9,0)</f>
        <v>0</v>
      </c>
      <c r="I97" s="57">
        <f>VLOOKUP(A97,AuxOPEXSaneparOriginal!$B$4:$N$177,13,0)</f>
        <v>0</v>
      </c>
      <c r="J97" s="57">
        <f>VLOOKUP(A97,AuxOPEXSaneparOriginal!$B$4:$Q$177,16,0)</f>
        <v>935607.6</v>
      </c>
      <c r="K97" s="57">
        <f>VLOOKUP(A97,AuxOPEXSaneparOriginal!$B$4:$V$177,21,0)</f>
        <v>0</v>
      </c>
      <c r="L97" s="157">
        <f t="shared" si="286"/>
        <v>956256.9</v>
      </c>
      <c r="M97" s="19">
        <f>VLOOKUP(A97,AuxOPEXSaneparOriginal!$B$4:$AB$177,27,0)</f>
        <v>25970</v>
      </c>
      <c r="N97" s="156">
        <f>VLOOKUP(A97,AuxOPEXSaneparOriginal!$B$4:$AC$177,28,0)</f>
        <v>10024</v>
      </c>
      <c r="O97" s="156">
        <f>VLOOKUP(A97,AuxOPEXSaneparOriginal!$B$4:$AD$177,29,0)</f>
        <v>239.1</v>
      </c>
      <c r="P97" s="156">
        <f>VLOOKUP(A97,AuxOPEXSaneparOriginal!$B$4:$AE$177,30,0)</f>
        <v>0</v>
      </c>
      <c r="Q97" s="146">
        <f>VLOOKUP(A97,AuxOPEXSaneparOriginal!$B$4:$AF$177,31,0)</f>
        <v>0</v>
      </c>
      <c r="R97" s="146">
        <f>VLOOKUP(A97,AuxOPEXSaneparOriginal!$B$4:$AG$177,32,0)</f>
        <v>973387.6399999999</v>
      </c>
      <c r="S97" s="146">
        <f>VLOOKUP(A97,AuxOPEXSaneparOriginal!$B$4:$AH$177,33,0)</f>
        <v>0</v>
      </c>
      <c r="T97" s="157">
        <f t="shared" si="287"/>
        <v>1009620.7399999999</v>
      </c>
      <c r="U97" s="156">
        <f>VLOOKUP(A97,AuxOPEXSaneparOriginal!$B$4:$AI$177,34,0)</f>
        <v>36690.61</v>
      </c>
      <c r="V97" s="156">
        <f>VLOOKUP(A97,AuxOPEXSaneparOriginal!$B$4:$AJ$177,35,0)</f>
        <v>2471.4300000000003</v>
      </c>
      <c r="W97" s="156">
        <f>VLOOKUP(A97,AuxOPEXSaneparOriginal!$B$4:$AK$177,36,0)</f>
        <v>0</v>
      </c>
      <c r="X97" s="19">
        <f>+VLOOKUP(A97,AuxOPEXSaneparOriginal!$B$4:$AL$177,37,0)</f>
        <v>0</v>
      </c>
      <c r="Y97" s="146">
        <f>VLOOKUP(A97,AuxOPEXSaneparOriginal!$B$4:$AM$177,38,0)</f>
        <v>0</v>
      </c>
      <c r="Z97" s="146">
        <f>VLOOKUP(A97,AuxOPEXSaneparOriginal!$B$4:$AN$177,39,0)</f>
        <v>1174846.22</v>
      </c>
      <c r="AA97" s="146">
        <f>VLOOKUP(A97,AuxOPEXSaneparOriginal!$B$4:$AO$177,40,0)</f>
        <v>0</v>
      </c>
      <c r="AB97" s="157">
        <f t="shared" si="288"/>
        <v>1214008.26</v>
      </c>
      <c r="AC97" s="156">
        <f>VLOOKUP(A97,AuxOPEXSaneparOriginal!$B$4:$AP$177,41,0)</f>
        <v>21732.5</v>
      </c>
      <c r="AD97" s="156">
        <f>+VLOOKUP(A97,AuxOPEXSaneparOriginal!$B$4:$AQ$177,42,0)</f>
        <v>5312.5</v>
      </c>
      <c r="AE97" s="156">
        <f>VLOOKUP(A97,AuxOPEXSaneparOriginal!$B$4:$AR$177,43,0)</f>
        <v>0</v>
      </c>
      <c r="AF97" s="156">
        <f>+VLOOKUP(A97,AuxOPEXSaneparOriginal!$B$4:$AS$177,44,0)</f>
        <v>0</v>
      </c>
      <c r="AG97" s="146">
        <f>VLOOKUP(A97,AuxOPEXSaneparOriginal!$B$4:$AT$177,45,0)</f>
        <v>0</v>
      </c>
      <c r="AH97" s="146">
        <f>VLOOKUP(A97,AuxOPEXSaneparOriginal!$B$4:$AU$177,46,0)</f>
        <v>1247921.42</v>
      </c>
      <c r="AI97" s="146">
        <f>VLOOKUP(A97,AuxOPEXSaneparOriginal!$B$4:$AV$177,47,0)</f>
        <v>0</v>
      </c>
      <c r="AJ97" s="157">
        <f t="shared" si="289"/>
        <v>1274966.42</v>
      </c>
      <c r="AK97" s="157">
        <f t="shared" si="205"/>
        <v>1113713.0799999998</v>
      </c>
      <c r="AL97" s="157">
        <f t="shared" si="206"/>
        <v>1244487.3399999999</v>
      </c>
      <c r="AM97" s="144"/>
      <c r="AN97" s="167">
        <f t="shared" si="290"/>
        <v>8945</v>
      </c>
      <c r="AO97" s="168">
        <f t="shared" si="291"/>
        <v>11693.800000000001</v>
      </c>
      <c r="AP97" s="57">
        <f t="shared" si="292"/>
        <v>10.5</v>
      </c>
      <c r="AQ97" s="57">
        <f t="shared" si="293"/>
        <v>0</v>
      </c>
      <c r="AR97" s="57">
        <f t="shared" si="294"/>
        <v>0</v>
      </c>
      <c r="AS97" s="57">
        <f t="shared" si="295"/>
        <v>935607.6</v>
      </c>
      <c r="AT97" s="57">
        <f t="shared" si="296"/>
        <v>0</v>
      </c>
      <c r="AU97" s="157">
        <f t="shared" si="297"/>
        <v>956256.9</v>
      </c>
      <c r="AV97" s="57">
        <f t="shared" si="298"/>
        <v>25970</v>
      </c>
      <c r="AW97" s="57">
        <f t="shared" si="299"/>
        <v>10024</v>
      </c>
      <c r="AX97" s="57">
        <f t="shared" si="300"/>
        <v>239.1</v>
      </c>
      <c r="AY97" s="57">
        <f t="shared" si="301"/>
        <v>0</v>
      </c>
      <c r="AZ97" s="57">
        <f t="shared" si="302"/>
        <v>0</v>
      </c>
      <c r="BA97" s="57">
        <f t="shared" si="303"/>
        <v>973387.6399999999</v>
      </c>
      <c r="BB97" s="57">
        <f t="shared" si="304"/>
        <v>0</v>
      </c>
      <c r="BC97" s="157">
        <f t="shared" si="305"/>
        <v>1009620.7399999999</v>
      </c>
      <c r="BD97" s="57">
        <f t="shared" si="306"/>
        <v>36690.61</v>
      </c>
      <c r="BE97" s="57">
        <f t="shared" si="307"/>
        <v>2471.4300000000003</v>
      </c>
      <c r="BF97" s="57">
        <f t="shared" si="308"/>
        <v>0</v>
      </c>
      <c r="BG97" s="57">
        <f t="shared" si="309"/>
        <v>0</v>
      </c>
      <c r="BH97" s="57">
        <f t="shared" si="310"/>
        <v>0</v>
      </c>
      <c r="BI97" s="57">
        <f t="shared" si="311"/>
        <v>1174846.22</v>
      </c>
      <c r="BJ97" s="57">
        <f t="shared" si="312"/>
        <v>0</v>
      </c>
      <c r="BK97" s="157">
        <f t="shared" si="313"/>
        <v>1214008.26</v>
      </c>
      <c r="BL97" s="57">
        <f t="shared" si="314"/>
        <v>21732.5</v>
      </c>
      <c r="BM97" s="57">
        <f t="shared" si="315"/>
        <v>5312.5</v>
      </c>
      <c r="BN97" s="57">
        <f t="shared" si="316"/>
        <v>0</v>
      </c>
      <c r="BO97" s="57">
        <f t="shared" si="317"/>
        <v>0</v>
      </c>
      <c r="BP97" s="57">
        <f t="shared" si="318"/>
        <v>0</v>
      </c>
      <c r="BQ97" s="57">
        <f t="shared" si="319"/>
        <v>1247921.42</v>
      </c>
      <c r="BR97" s="57">
        <f t="shared" si="320"/>
        <v>0</v>
      </c>
      <c r="BS97" s="157">
        <f t="shared" si="321"/>
        <v>1274966.42</v>
      </c>
      <c r="BT97" s="157">
        <f t="shared" si="73"/>
        <v>1113713.0799999998</v>
      </c>
      <c r="BU97" s="157">
        <f t="shared" si="74"/>
        <v>1244487.3399999999</v>
      </c>
      <c r="BV97" s="144"/>
      <c r="BW97" s="158">
        <f t="shared" si="322"/>
        <v>956256.9</v>
      </c>
      <c r="BX97" s="159">
        <f t="shared" si="323"/>
        <v>1009620.7399999999</v>
      </c>
      <c r="BY97" s="159">
        <f t="shared" si="324"/>
        <v>1214008.26</v>
      </c>
      <c r="BZ97" s="159">
        <f t="shared" si="325"/>
        <v>1274966.42</v>
      </c>
      <c r="CA97" s="158">
        <f t="shared" si="326"/>
        <v>1113713.08</v>
      </c>
      <c r="CB97" s="157">
        <f t="shared" si="327"/>
        <v>1111814.5</v>
      </c>
      <c r="CC97" s="144"/>
      <c r="CD97" s="158">
        <f t="shared" si="328"/>
        <v>1086296.26769151</v>
      </c>
      <c r="CE97" s="159">
        <f t="shared" si="329"/>
        <v>1102318.3615085818</v>
      </c>
      <c r="CF97" s="159">
        <f t="shared" si="330"/>
        <v>1283440.9130133539</v>
      </c>
      <c r="CG97" s="159">
        <f t="shared" si="331"/>
        <v>1274966.42</v>
      </c>
      <c r="CH97" s="158">
        <f t="shared" si="332"/>
        <v>1186755.4905533614</v>
      </c>
      <c r="CI97" s="157">
        <f t="shared" si="333"/>
        <v>1188642.3907542909</v>
      </c>
      <c r="CK97" s="61">
        <f t="shared" si="334"/>
        <v>1.4749285525136102E-2</v>
      </c>
      <c r="CL97" s="62">
        <f t="shared" si="335"/>
        <v>0.1643105638346587</v>
      </c>
      <c r="CM97" s="63">
        <f t="shared" si="336"/>
        <v>-6.6029475353539535E-3</v>
      </c>
      <c r="CN97" s="61">
        <f t="shared" si="337"/>
        <v>0.17368204045240176</v>
      </c>
      <c r="CO97" s="29"/>
      <c r="CP97" s="61">
        <f t="shared" si="338"/>
        <v>4.5761839231745827E-4</v>
      </c>
      <c r="CQ97" s="62">
        <f t="shared" si="339"/>
        <v>4.7464200525304073E-4</v>
      </c>
      <c r="CR97" s="63">
        <f t="shared" si="340"/>
        <v>5.3297868949021658E-4</v>
      </c>
      <c r="CS97" s="61">
        <f t="shared" si="341"/>
        <v>5.2679481340616699E-4</v>
      </c>
      <c r="CU97" s="60">
        <f t="shared" si="207"/>
        <v>100</v>
      </c>
      <c r="CV97" s="132">
        <f t="shared" si="208"/>
        <v>101.4749285525136</v>
      </c>
      <c r="CW97" s="132">
        <f t="shared" si="209"/>
        <v>118.14833127805882</v>
      </c>
      <c r="CX97" s="131">
        <f t="shared" si="210"/>
        <v>117.36820404524018</v>
      </c>
    </row>
    <row r="98" spans="1:102">
      <c r="A98" s="29">
        <v>325</v>
      </c>
      <c r="B98" s="29" t="s">
        <v>5</v>
      </c>
      <c r="C98" s="55" t="s">
        <v>128</v>
      </c>
      <c r="D98" s="56">
        <v>0</v>
      </c>
      <c r="E98" s="57">
        <f>VLOOKUP(A98,AuxOPEXSaneparOriginal!$B$4:$F$177,3,0)</f>
        <v>0</v>
      </c>
      <c r="F98" s="156">
        <f>VLOOKUP(A98,AuxOPEXSaneparOriginal!$B$4:$F$177,4,0)</f>
        <v>0</v>
      </c>
      <c r="G98" s="57">
        <f>VLOOKUP(A98,AuxOPEXSaneparOriginal!$B$4:$K$177,8,0)</f>
        <v>0</v>
      </c>
      <c r="H98" s="156">
        <f>VLOOKUP(A98,AuxOPEXSaneparOriginal!$B$4:$K$177,9,0)</f>
        <v>0</v>
      </c>
      <c r="I98" s="57">
        <f>VLOOKUP(A98,AuxOPEXSaneparOriginal!$B$4:$N$177,13,0)</f>
        <v>0</v>
      </c>
      <c r="J98" s="57">
        <f>VLOOKUP(A98,AuxOPEXSaneparOriginal!$B$4:$Q$177,16,0)</f>
        <v>10961</v>
      </c>
      <c r="K98" s="57">
        <f>VLOOKUP(A98,AuxOPEXSaneparOriginal!$B$4:$V$177,21,0)</f>
        <v>0</v>
      </c>
      <c r="L98" s="157">
        <f t="shared" si="286"/>
        <v>10961</v>
      </c>
      <c r="M98" s="19">
        <f>VLOOKUP(A98,AuxOPEXSaneparOriginal!$B$4:$AB$177,27,0)</f>
        <v>0</v>
      </c>
      <c r="N98" s="156">
        <f>VLOOKUP(A98,AuxOPEXSaneparOriginal!$B$4:$AC$177,28,0)</f>
        <v>0</v>
      </c>
      <c r="O98" s="156">
        <f>VLOOKUP(A98,AuxOPEXSaneparOriginal!$B$4:$AD$177,29,0)</f>
        <v>0</v>
      </c>
      <c r="P98" s="156">
        <f>VLOOKUP(A98,AuxOPEXSaneparOriginal!$B$4:$AE$177,30,0)</f>
        <v>0</v>
      </c>
      <c r="Q98" s="146">
        <f>VLOOKUP(A98,AuxOPEXSaneparOriginal!$B$4:$AF$177,31,0)</f>
        <v>0</v>
      </c>
      <c r="R98" s="146">
        <f>VLOOKUP(A98,AuxOPEXSaneparOriginal!$B$4:$AG$177,32,0)</f>
        <v>21607.14</v>
      </c>
      <c r="S98" s="146">
        <f>VLOOKUP(A98,AuxOPEXSaneparOriginal!$B$4:$AH$177,33,0)</f>
        <v>0</v>
      </c>
      <c r="T98" s="157">
        <f t="shared" si="287"/>
        <v>21607.14</v>
      </c>
      <c r="U98" s="156">
        <f>VLOOKUP(A98,AuxOPEXSaneparOriginal!$B$4:$AI$177,34,0)</f>
        <v>0</v>
      </c>
      <c r="V98" s="156">
        <f>VLOOKUP(A98,AuxOPEXSaneparOriginal!$B$4:$AJ$177,35,0)</f>
        <v>0</v>
      </c>
      <c r="W98" s="156">
        <f>VLOOKUP(A98,AuxOPEXSaneparOriginal!$B$4:$AK$177,36,0)</f>
        <v>0</v>
      </c>
      <c r="X98" s="19">
        <f>+VLOOKUP(A98,AuxOPEXSaneparOriginal!$B$4:$AL$177,37,0)</f>
        <v>0</v>
      </c>
      <c r="Y98" s="146">
        <f>VLOOKUP(A98,AuxOPEXSaneparOriginal!$B$4:$AM$177,38,0)</f>
        <v>0</v>
      </c>
      <c r="Z98" s="146">
        <f>VLOOKUP(A98,AuxOPEXSaneparOriginal!$B$4:$AN$177,39,0)</f>
        <v>56998</v>
      </c>
      <c r="AA98" s="146">
        <f>VLOOKUP(A98,AuxOPEXSaneparOriginal!$B$4:$AO$177,40,0)</f>
        <v>0</v>
      </c>
      <c r="AB98" s="157">
        <f t="shared" si="288"/>
        <v>56998</v>
      </c>
      <c r="AC98" s="156">
        <f>VLOOKUP(A98,AuxOPEXSaneparOriginal!$B$4:$AP$177,41,0)</f>
        <v>0</v>
      </c>
      <c r="AD98" s="156">
        <f>+VLOOKUP(A98,AuxOPEXSaneparOriginal!$B$4:$AQ$177,42,0)</f>
        <v>0</v>
      </c>
      <c r="AE98" s="156">
        <f>VLOOKUP(A98,AuxOPEXSaneparOriginal!$B$4:$AR$177,43,0)</f>
        <v>0</v>
      </c>
      <c r="AF98" s="156">
        <f>+VLOOKUP(A98,AuxOPEXSaneparOriginal!$B$4:$AS$177,44,0)</f>
        <v>0</v>
      </c>
      <c r="AG98" s="146">
        <f>VLOOKUP(A98,AuxOPEXSaneparOriginal!$B$4:$AT$177,45,0)</f>
        <v>0</v>
      </c>
      <c r="AH98" s="146">
        <f>VLOOKUP(A98,AuxOPEXSaneparOriginal!$B$4:$AU$177,46,0)</f>
        <v>70173.02</v>
      </c>
      <c r="AI98" s="146">
        <f>VLOOKUP(A98,AuxOPEXSaneparOriginal!$B$4:$AV$177,47,0)</f>
        <v>0</v>
      </c>
      <c r="AJ98" s="157">
        <f t="shared" si="289"/>
        <v>70173.02</v>
      </c>
      <c r="AK98" s="157">
        <f t="shared" si="205"/>
        <v>39934.79</v>
      </c>
      <c r="AL98" s="157">
        <f t="shared" si="206"/>
        <v>63585.51</v>
      </c>
      <c r="AM98" s="144"/>
      <c r="AN98" s="167">
        <f t="shared" si="290"/>
        <v>0</v>
      </c>
      <c r="AO98" s="168">
        <f t="shared" si="291"/>
        <v>0</v>
      </c>
      <c r="AP98" s="57">
        <f t="shared" si="292"/>
        <v>0</v>
      </c>
      <c r="AQ98" s="57">
        <f t="shared" si="293"/>
        <v>0</v>
      </c>
      <c r="AR98" s="57">
        <f t="shared" si="294"/>
        <v>0</v>
      </c>
      <c r="AS98" s="57">
        <f t="shared" si="295"/>
        <v>10961</v>
      </c>
      <c r="AT98" s="57">
        <f t="shared" si="296"/>
        <v>0</v>
      </c>
      <c r="AU98" s="157">
        <f t="shared" si="297"/>
        <v>10961</v>
      </c>
      <c r="AV98" s="57">
        <f t="shared" si="298"/>
        <v>0</v>
      </c>
      <c r="AW98" s="57">
        <f t="shared" si="299"/>
        <v>0</v>
      </c>
      <c r="AX98" s="57">
        <f t="shared" si="300"/>
        <v>0</v>
      </c>
      <c r="AY98" s="57">
        <f t="shared" si="301"/>
        <v>0</v>
      </c>
      <c r="AZ98" s="57">
        <f t="shared" si="302"/>
        <v>0</v>
      </c>
      <c r="BA98" s="57">
        <f t="shared" si="303"/>
        <v>21607.14</v>
      </c>
      <c r="BB98" s="57">
        <f t="shared" si="304"/>
        <v>0</v>
      </c>
      <c r="BC98" s="157">
        <f t="shared" si="305"/>
        <v>21607.14</v>
      </c>
      <c r="BD98" s="57">
        <f t="shared" si="306"/>
        <v>0</v>
      </c>
      <c r="BE98" s="57">
        <f t="shared" si="307"/>
        <v>0</v>
      </c>
      <c r="BF98" s="57">
        <f t="shared" si="308"/>
        <v>0</v>
      </c>
      <c r="BG98" s="57">
        <f t="shared" si="309"/>
        <v>0</v>
      </c>
      <c r="BH98" s="57">
        <f t="shared" si="310"/>
        <v>0</v>
      </c>
      <c r="BI98" s="57">
        <f t="shared" si="311"/>
        <v>56998</v>
      </c>
      <c r="BJ98" s="57">
        <f t="shared" si="312"/>
        <v>0</v>
      </c>
      <c r="BK98" s="157">
        <f t="shared" si="313"/>
        <v>56998</v>
      </c>
      <c r="BL98" s="57">
        <f t="shared" si="314"/>
        <v>0</v>
      </c>
      <c r="BM98" s="57">
        <f t="shared" si="315"/>
        <v>0</v>
      </c>
      <c r="BN98" s="57">
        <f t="shared" si="316"/>
        <v>0</v>
      </c>
      <c r="BO98" s="57">
        <f t="shared" si="317"/>
        <v>0</v>
      </c>
      <c r="BP98" s="57">
        <f t="shared" si="318"/>
        <v>0</v>
      </c>
      <c r="BQ98" s="57">
        <f t="shared" si="319"/>
        <v>70173.02</v>
      </c>
      <c r="BR98" s="57">
        <f t="shared" si="320"/>
        <v>0</v>
      </c>
      <c r="BS98" s="157">
        <f t="shared" si="321"/>
        <v>70173.02</v>
      </c>
      <c r="BT98" s="157">
        <f t="shared" si="73"/>
        <v>39934.79</v>
      </c>
      <c r="BU98" s="157">
        <f t="shared" si="74"/>
        <v>63585.51</v>
      </c>
      <c r="BV98" s="144"/>
      <c r="BW98" s="158">
        <f t="shared" si="322"/>
        <v>10961</v>
      </c>
      <c r="BX98" s="159">
        <f t="shared" si="323"/>
        <v>21607.14</v>
      </c>
      <c r="BY98" s="159">
        <f t="shared" si="324"/>
        <v>56998</v>
      </c>
      <c r="BZ98" s="159">
        <f t="shared" si="325"/>
        <v>70173.02</v>
      </c>
      <c r="CA98" s="158">
        <f t="shared" si="326"/>
        <v>39934.79</v>
      </c>
      <c r="CB98" s="157">
        <f t="shared" si="327"/>
        <v>39302.57</v>
      </c>
      <c r="CC98" s="144"/>
      <c r="CD98" s="158">
        <f t="shared" si="328"/>
        <v>12451.5633719</v>
      </c>
      <c r="CE98" s="159">
        <f t="shared" si="329"/>
        <v>23590.984434102</v>
      </c>
      <c r="CF98" s="159">
        <f t="shared" si="330"/>
        <v>60257.880914200003</v>
      </c>
      <c r="CG98" s="159">
        <f t="shared" si="331"/>
        <v>70173.02</v>
      </c>
      <c r="CH98" s="158">
        <f t="shared" si="332"/>
        <v>41618.362180050506</v>
      </c>
      <c r="CI98" s="157">
        <f t="shared" si="333"/>
        <v>41924.432674151001</v>
      </c>
      <c r="CK98" s="61">
        <f t="shared" si="334"/>
        <v>0.8946202761446671</v>
      </c>
      <c r="CL98" s="62">
        <f t="shared" si="335"/>
        <v>1.554275811699239</v>
      </c>
      <c r="CM98" s="63">
        <f t="shared" si="336"/>
        <v>0.16454510074653927</v>
      </c>
      <c r="CN98" s="61">
        <f t="shared" si="337"/>
        <v>4.6356794648262882</v>
      </c>
      <c r="CO98" s="29"/>
      <c r="CP98" s="61">
        <f t="shared" si="338"/>
        <v>5.2454054953137172E-6</v>
      </c>
      <c r="CQ98" s="62">
        <f t="shared" si="339"/>
        <v>1.0157929459118667E-5</v>
      </c>
      <c r="CR98" s="63">
        <f t="shared" si="340"/>
        <v>2.5023486531766573E-5</v>
      </c>
      <c r="CS98" s="61">
        <f t="shared" si="341"/>
        <v>2.8994318906883235E-5</v>
      </c>
      <c r="CU98" s="60">
        <f t="shared" si="207"/>
        <v>100</v>
      </c>
      <c r="CV98" s="132">
        <f t="shared" si="208"/>
        <v>189.46202761446671</v>
      </c>
      <c r="CW98" s="132">
        <f t="shared" si="209"/>
        <v>483.93827437112566</v>
      </c>
      <c r="CX98" s="131">
        <f t="shared" si="210"/>
        <v>563.56794648262883</v>
      </c>
    </row>
    <row r="99" spans="1:102">
      <c r="A99" s="29">
        <v>326</v>
      </c>
      <c r="B99" s="29" t="s">
        <v>5</v>
      </c>
      <c r="C99" s="55" t="s">
        <v>129</v>
      </c>
      <c r="D99" s="56">
        <v>0</v>
      </c>
      <c r="E99" s="57">
        <f>VLOOKUP(A99,AuxOPEXSaneparOriginal!$B$4:$F$177,3,0)</f>
        <v>0</v>
      </c>
      <c r="F99" s="156">
        <f>VLOOKUP(A99,AuxOPEXSaneparOriginal!$B$4:$F$177,4,0)</f>
        <v>130356923.29000001</v>
      </c>
      <c r="G99" s="57">
        <f>VLOOKUP(A99,AuxOPEXSaneparOriginal!$B$4:$K$177,8,0)</f>
        <v>38449213.93</v>
      </c>
      <c r="H99" s="156">
        <f>VLOOKUP(A99,AuxOPEXSaneparOriginal!$B$4:$K$177,9,0)</f>
        <v>0</v>
      </c>
      <c r="I99" s="57">
        <f>VLOOKUP(A99,AuxOPEXSaneparOriginal!$B$4:$N$177,13,0)</f>
        <v>0</v>
      </c>
      <c r="J99" s="57">
        <f>VLOOKUP(A99,AuxOPEXSaneparOriginal!$B$4:$Q$177,16,0)</f>
        <v>0</v>
      </c>
      <c r="K99" s="57">
        <f>VLOOKUP(A99,AuxOPEXSaneparOriginal!$B$4:$V$177,21,0)</f>
        <v>0</v>
      </c>
      <c r="L99" s="157">
        <f t="shared" si="286"/>
        <v>168806137.22</v>
      </c>
      <c r="M99" s="19">
        <f>VLOOKUP(A99,AuxOPEXSaneparOriginal!$B$4:$AB$177,27,0)</f>
        <v>0</v>
      </c>
      <c r="N99" s="156">
        <f>VLOOKUP(A99,AuxOPEXSaneparOriginal!$B$4:$AC$177,28,0)</f>
        <v>142672340.9000001</v>
      </c>
      <c r="O99" s="156">
        <f>VLOOKUP(A99,AuxOPEXSaneparOriginal!$B$4:$AD$177,29,0)</f>
        <v>35615131.389999978</v>
      </c>
      <c r="P99" s="156">
        <f>VLOOKUP(A99,AuxOPEXSaneparOriginal!$B$4:$AE$177,30,0)</f>
        <v>0</v>
      </c>
      <c r="Q99" s="146">
        <f>VLOOKUP(A99,AuxOPEXSaneparOriginal!$B$4:$AF$177,31,0)</f>
        <v>0</v>
      </c>
      <c r="R99" s="146">
        <f>VLOOKUP(A99,AuxOPEXSaneparOriginal!$B$4:$AG$177,32,0)</f>
        <v>0</v>
      </c>
      <c r="S99" s="146">
        <f>VLOOKUP(A99,AuxOPEXSaneparOriginal!$B$4:$AH$177,33,0)</f>
        <v>0</v>
      </c>
      <c r="T99" s="157">
        <f t="shared" si="287"/>
        <v>178287472.29000008</v>
      </c>
      <c r="U99" s="156">
        <f>VLOOKUP(A99,AuxOPEXSaneparOriginal!$B$4:$AI$177,34,0)</f>
        <v>0</v>
      </c>
      <c r="V99" s="156">
        <f>VLOOKUP(A99,AuxOPEXSaneparOriginal!$B$4:$AJ$177,35,0)</f>
        <v>163445193.43999967</v>
      </c>
      <c r="W99" s="156">
        <f>VLOOKUP(A99,AuxOPEXSaneparOriginal!$B$4:$AK$177,36,0)</f>
        <v>40889342.269999966</v>
      </c>
      <c r="X99" s="19">
        <f>+VLOOKUP(A99,AuxOPEXSaneparOriginal!$B$4:$AL$177,37,0)</f>
        <v>0</v>
      </c>
      <c r="Y99" s="146">
        <f>VLOOKUP(A99,AuxOPEXSaneparOriginal!$B$4:$AM$177,38,0)</f>
        <v>0</v>
      </c>
      <c r="Z99" s="146">
        <f>VLOOKUP(A99,AuxOPEXSaneparOriginal!$B$4:$AN$177,39,0)</f>
        <v>0</v>
      </c>
      <c r="AA99" s="146">
        <f>VLOOKUP(A99,AuxOPEXSaneparOriginal!$B$4:$AO$177,40,0)</f>
        <v>0</v>
      </c>
      <c r="AB99" s="157">
        <f t="shared" si="288"/>
        <v>204334535.70999962</v>
      </c>
      <c r="AC99" s="156">
        <f>VLOOKUP(A99,AuxOPEXSaneparOriginal!$B$4:$AP$177,41,0)</f>
        <v>0</v>
      </c>
      <c r="AD99" s="156">
        <f>+VLOOKUP(A99,AuxOPEXSaneparOriginal!$B$4:$AQ$177,42,0)</f>
        <v>154169888.06000033</v>
      </c>
      <c r="AE99" s="156">
        <f>VLOOKUP(A99,AuxOPEXSaneparOriginal!$B$4:$AR$177,43,0)</f>
        <v>35866976.43999999</v>
      </c>
      <c r="AF99" s="156">
        <f>+VLOOKUP(A99,AuxOPEXSaneparOriginal!$B$4:$AS$177,44,0)</f>
        <v>0</v>
      </c>
      <c r="AG99" s="146">
        <f>VLOOKUP(A99,AuxOPEXSaneparOriginal!$B$4:$AT$177,45,0)</f>
        <v>0</v>
      </c>
      <c r="AH99" s="146">
        <f>VLOOKUP(A99,AuxOPEXSaneparOriginal!$B$4:$AU$177,46,0)</f>
        <v>0</v>
      </c>
      <c r="AI99" s="146">
        <f>VLOOKUP(A99,AuxOPEXSaneparOriginal!$B$4:$AV$177,47,0)</f>
        <v>0</v>
      </c>
      <c r="AJ99" s="157">
        <f t="shared" si="289"/>
        <v>190036864.50000033</v>
      </c>
      <c r="AK99" s="157">
        <f t="shared" si="205"/>
        <v>185366252.43000001</v>
      </c>
      <c r="AL99" s="157">
        <f t="shared" si="206"/>
        <v>197185700.10499996</v>
      </c>
      <c r="AM99" s="144"/>
      <c r="AN99" s="167">
        <f t="shared" si="290"/>
        <v>0</v>
      </c>
      <c r="AO99" s="168">
        <f t="shared" si="291"/>
        <v>130356923.29000001</v>
      </c>
      <c r="AP99" s="57">
        <f t="shared" si="292"/>
        <v>38449213.93</v>
      </c>
      <c r="AQ99" s="57">
        <f t="shared" si="293"/>
        <v>0</v>
      </c>
      <c r="AR99" s="57">
        <f t="shared" si="294"/>
        <v>0</v>
      </c>
      <c r="AS99" s="57">
        <f t="shared" si="295"/>
        <v>0</v>
      </c>
      <c r="AT99" s="57">
        <f t="shared" si="296"/>
        <v>0</v>
      </c>
      <c r="AU99" s="157">
        <f t="shared" si="297"/>
        <v>168806137.22</v>
      </c>
      <c r="AV99" s="57">
        <f t="shared" si="298"/>
        <v>0</v>
      </c>
      <c r="AW99" s="57">
        <f t="shared" si="299"/>
        <v>142672340.9000001</v>
      </c>
      <c r="AX99" s="57">
        <f t="shared" si="300"/>
        <v>35615131.389999978</v>
      </c>
      <c r="AY99" s="57">
        <f t="shared" si="301"/>
        <v>0</v>
      </c>
      <c r="AZ99" s="57">
        <f t="shared" si="302"/>
        <v>0</v>
      </c>
      <c r="BA99" s="57">
        <f t="shared" si="303"/>
        <v>0</v>
      </c>
      <c r="BB99" s="57">
        <f t="shared" si="304"/>
        <v>0</v>
      </c>
      <c r="BC99" s="157">
        <f t="shared" si="305"/>
        <v>178287472.29000008</v>
      </c>
      <c r="BD99" s="57">
        <f t="shared" si="306"/>
        <v>0</v>
      </c>
      <c r="BE99" s="57">
        <f t="shared" si="307"/>
        <v>163445193.43999967</v>
      </c>
      <c r="BF99" s="57">
        <f t="shared" si="308"/>
        <v>40889342.269999966</v>
      </c>
      <c r="BG99" s="57">
        <f t="shared" si="309"/>
        <v>0</v>
      </c>
      <c r="BH99" s="57">
        <f t="shared" si="310"/>
        <v>0</v>
      </c>
      <c r="BI99" s="57">
        <f t="shared" si="311"/>
        <v>0</v>
      </c>
      <c r="BJ99" s="57">
        <f t="shared" si="312"/>
        <v>0</v>
      </c>
      <c r="BK99" s="157">
        <f t="shared" si="313"/>
        <v>204334535.70999962</v>
      </c>
      <c r="BL99" s="57">
        <f t="shared" si="314"/>
        <v>0</v>
      </c>
      <c r="BM99" s="57">
        <f t="shared" si="315"/>
        <v>154169888.06000033</v>
      </c>
      <c r="BN99" s="57">
        <f t="shared" si="316"/>
        <v>35866976.43999999</v>
      </c>
      <c r="BO99" s="57">
        <f t="shared" si="317"/>
        <v>0</v>
      </c>
      <c r="BP99" s="57">
        <f t="shared" si="318"/>
        <v>0</v>
      </c>
      <c r="BQ99" s="57">
        <f t="shared" si="319"/>
        <v>0</v>
      </c>
      <c r="BR99" s="57">
        <f t="shared" si="320"/>
        <v>0</v>
      </c>
      <c r="BS99" s="157">
        <f t="shared" si="321"/>
        <v>190036864.50000033</v>
      </c>
      <c r="BT99" s="157">
        <f t="shared" si="73"/>
        <v>185366252.43000001</v>
      </c>
      <c r="BU99" s="157">
        <f t="shared" si="74"/>
        <v>197185700.10499996</v>
      </c>
      <c r="BV99" s="144"/>
      <c r="BW99" s="158">
        <f t="shared" si="322"/>
        <v>168806137.22</v>
      </c>
      <c r="BX99" s="159">
        <f t="shared" si="323"/>
        <v>178287472.29000008</v>
      </c>
      <c r="BY99" s="159">
        <f t="shared" si="324"/>
        <v>204334535.70999962</v>
      </c>
      <c r="BZ99" s="159">
        <f t="shared" si="325"/>
        <v>190036864.50000033</v>
      </c>
      <c r="CA99" s="158">
        <f t="shared" si="326"/>
        <v>185366252.43000004</v>
      </c>
      <c r="CB99" s="157">
        <f t="shared" si="327"/>
        <v>184162168.39500022</v>
      </c>
      <c r="CC99" s="144"/>
      <c r="CD99" s="158">
        <f t="shared" si="328"/>
        <v>191761729.32765964</v>
      </c>
      <c r="CE99" s="159">
        <f t="shared" si="329"/>
        <v>194656811.75707585</v>
      </c>
      <c r="CF99" s="159">
        <f t="shared" si="330"/>
        <v>216021020.37740806</v>
      </c>
      <c r="CG99" s="159">
        <f t="shared" si="331"/>
        <v>190036864.50000033</v>
      </c>
      <c r="CH99" s="158">
        <f t="shared" si="332"/>
        <v>198119106.49053597</v>
      </c>
      <c r="CI99" s="157">
        <f t="shared" si="333"/>
        <v>193209270.54236776</v>
      </c>
      <c r="CK99" s="61">
        <f t="shared" si="334"/>
        <v>1.5097289952310744E-2</v>
      </c>
      <c r="CL99" s="62">
        <f t="shared" si="335"/>
        <v>0.10975320322719506</v>
      </c>
      <c r="CM99" s="63">
        <f t="shared" si="336"/>
        <v>-0.12028531219791061</v>
      </c>
      <c r="CN99" s="61">
        <f t="shared" si="337"/>
        <v>-8.9948335035718863E-3</v>
      </c>
      <c r="CO99" s="29"/>
      <c r="CP99" s="61">
        <f t="shared" si="338"/>
        <v>8.0782468736107046E-2</v>
      </c>
      <c r="CQ99" s="62">
        <f t="shared" si="339"/>
        <v>8.3816348066722154E-2</v>
      </c>
      <c r="CR99" s="63">
        <f t="shared" si="340"/>
        <v>8.97077529442077E-2</v>
      </c>
      <c r="CS99" s="61">
        <f t="shared" si="341"/>
        <v>7.8520055904351363E-2</v>
      </c>
      <c r="CU99" s="60">
        <f t="shared" si="207"/>
        <v>100</v>
      </c>
      <c r="CV99" s="132">
        <f t="shared" si="208"/>
        <v>101.50972899523107</v>
      </c>
      <c r="CW99" s="132">
        <f t="shared" si="209"/>
        <v>112.65074691118218</v>
      </c>
      <c r="CX99" s="131">
        <f t="shared" si="210"/>
        <v>99.100516649642813</v>
      </c>
    </row>
    <row r="100" spans="1:102">
      <c r="A100" s="29">
        <v>328</v>
      </c>
      <c r="B100" s="29" t="s">
        <v>5</v>
      </c>
      <c r="C100" s="55" t="s">
        <v>130</v>
      </c>
      <c r="D100" s="56">
        <v>0</v>
      </c>
      <c r="E100" s="57">
        <f>VLOOKUP(A100,AuxOPEXSaneparOriginal!$B$4:$F$177,3,0)</f>
        <v>11703</v>
      </c>
      <c r="F100" s="156">
        <f>VLOOKUP(A100,AuxOPEXSaneparOriginal!$B$4:$F$177,4,0)</f>
        <v>0</v>
      </c>
      <c r="G100" s="57">
        <f>VLOOKUP(A100,AuxOPEXSaneparOriginal!$B$4:$K$177,8,0)</f>
        <v>0</v>
      </c>
      <c r="H100" s="156">
        <f>VLOOKUP(A100,AuxOPEXSaneparOriginal!$B$4:$K$177,9,0)</f>
        <v>0</v>
      </c>
      <c r="I100" s="57">
        <f>VLOOKUP(A100,AuxOPEXSaneparOriginal!$B$4:$N$177,13,0)</f>
        <v>7170</v>
      </c>
      <c r="J100" s="57">
        <f>VLOOKUP(A100,AuxOPEXSaneparOriginal!$B$4:$Q$177,16,0)</f>
        <v>121397</v>
      </c>
      <c r="K100" s="57">
        <f>VLOOKUP(A100,AuxOPEXSaneparOriginal!$B$4:$V$177,21,0)</f>
        <v>0</v>
      </c>
      <c r="L100" s="157">
        <f t="shared" si="286"/>
        <v>140270</v>
      </c>
      <c r="M100" s="19">
        <f>VLOOKUP(A100,AuxOPEXSaneparOriginal!$B$4:$AB$177,27,0)</f>
        <v>6927.8</v>
      </c>
      <c r="N100" s="156">
        <f>VLOOKUP(A100,AuxOPEXSaneparOriginal!$B$4:$AC$177,28,0)</f>
        <v>1271.4000000000001</v>
      </c>
      <c r="O100" s="156">
        <f>VLOOKUP(A100,AuxOPEXSaneparOriginal!$B$4:$AD$177,29,0)</f>
        <v>0</v>
      </c>
      <c r="P100" s="156">
        <f>VLOOKUP(A100,AuxOPEXSaneparOriginal!$B$4:$AE$177,30,0)</f>
        <v>1885</v>
      </c>
      <c r="Q100" s="146">
        <f>VLOOKUP(A100,AuxOPEXSaneparOriginal!$B$4:$AF$177,31,0)</f>
        <v>2247.1</v>
      </c>
      <c r="R100" s="146">
        <f>VLOOKUP(A100,AuxOPEXSaneparOriginal!$B$4:$AG$177,32,0)</f>
        <v>130877.7</v>
      </c>
      <c r="S100" s="146">
        <f>VLOOKUP(A100,AuxOPEXSaneparOriginal!$B$4:$AH$177,33,0)</f>
        <v>0</v>
      </c>
      <c r="T100" s="157">
        <f t="shared" si="287"/>
        <v>143209</v>
      </c>
      <c r="U100" s="156">
        <f>VLOOKUP(A100,AuxOPEXSaneparOriginal!$B$4:$AI$177,34,0)</f>
        <v>58572.2</v>
      </c>
      <c r="V100" s="156">
        <f>VLOOKUP(A100,AuxOPEXSaneparOriginal!$B$4:$AJ$177,35,0)</f>
        <v>7040</v>
      </c>
      <c r="W100" s="156">
        <f>VLOOKUP(A100,AuxOPEXSaneparOriginal!$B$4:$AK$177,36,0)</f>
        <v>0</v>
      </c>
      <c r="X100" s="19">
        <f>+VLOOKUP(A100,AuxOPEXSaneparOriginal!$B$4:$AL$177,37,0)</f>
        <v>0</v>
      </c>
      <c r="Y100" s="146">
        <f>VLOOKUP(A100,AuxOPEXSaneparOriginal!$B$4:$AM$177,38,0)</f>
        <v>4020</v>
      </c>
      <c r="Z100" s="146">
        <f>VLOOKUP(A100,AuxOPEXSaneparOriginal!$B$4:$AN$177,39,0)</f>
        <v>26332</v>
      </c>
      <c r="AA100" s="146">
        <f>VLOOKUP(A100,AuxOPEXSaneparOriginal!$B$4:$AO$177,40,0)</f>
        <v>0</v>
      </c>
      <c r="AB100" s="157">
        <f t="shared" si="288"/>
        <v>95964.2</v>
      </c>
      <c r="AC100" s="156">
        <f>VLOOKUP(A100,AuxOPEXSaneparOriginal!$B$4:$AP$177,41,0)</f>
        <v>750</v>
      </c>
      <c r="AD100" s="156">
        <f>+VLOOKUP(A100,AuxOPEXSaneparOriginal!$B$4:$AQ$177,42,0)</f>
        <v>0</v>
      </c>
      <c r="AE100" s="156">
        <f>VLOOKUP(A100,AuxOPEXSaneparOriginal!$B$4:$AR$177,43,0)</f>
        <v>0</v>
      </c>
      <c r="AF100" s="156">
        <f>+VLOOKUP(A100,AuxOPEXSaneparOriginal!$B$4:$AS$177,44,0)</f>
        <v>640</v>
      </c>
      <c r="AG100" s="146">
        <f>VLOOKUP(A100,AuxOPEXSaneparOriginal!$B$4:$AT$177,45,0)</f>
        <v>0</v>
      </c>
      <c r="AH100" s="146">
        <f>VLOOKUP(A100,AuxOPEXSaneparOriginal!$B$4:$AU$177,46,0)</f>
        <v>22050</v>
      </c>
      <c r="AI100" s="146">
        <f>VLOOKUP(A100,AuxOPEXSaneparOriginal!$B$4:$AV$177,47,0)</f>
        <v>0</v>
      </c>
      <c r="AJ100" s="157">
        <f t="shared" si="289"/>
        <v>23440</v>
      </c>
      <c r="AK100" s="157">
        <f t="shared" si="205"/>
        <v>100720.8</v>
      </c>
      <c r="AL100" s="157">
        <f t="shared" si="206"/>
        <v>59702.1</v>
      </c>
      <c r="AM100" s="144"/>
      <c r="AN100" s="167">
        <f t="shared" si="290"/>
        <v>11703</v>
      </c>
      <c r="AO100" s="168">
        <f t="shared" si="291"/>
        <v>0</v>
      </c>
      <c r="AP100" s="57">
        <f t="shared" si="292"/>
        <v>0</v>
      </c>
      <c r="AQ100" s="57">
        <f t="shared" si="293"/>
        <v>0</v>
      </c>
      <c r="AR100" s="57">
        <f t="shared" si="294"/>
        <v>7170</v>
      </c>
      <c r="AS100" s="57">
        <f t="shared" si="295"/>
        <v>121397</v>
      </c>
      <c r="AT100" s="57">
        <f t="shared" si="296"/>
        <v>0</v>
      </c>
      <c r="AU100" s="157">
        <f t="shared" si="297"/>
        <v>140270</v>
      </c>
      <c r="AV100" s="57">
        <f t="shared" si="298"/>
        <v>6927.8</v>
      </c>
      <c r="AW100" s="57">
        <f t="shared" si="299"/>
        <v>1271.4000000000001</v>
      </c>
      <c r="AX100" s="57">
        <f t="shared" si="300"/>
        <v>0</v>
      </c>
      <c r="AY100" s="57">
        <f t="shared" si="301"/>
        <v>1885</v>
      </c>
      <c r="AZ100" s="57">
        <f t="shared" si="302"/>
        <v>2247.1</v>
      </c>
      <c r="BA100" s="57">
        <f t="shared" si="303"/>
        <v>130877.7</v>
      </c>
      <c r="BB100" s="57">
        <f t="shared" si="304"/>
        <v>0</v>
      </c>
      <c r="BC100" s="157">
        <f t="shared" si="305"/>
        <v>143209</v>
      </c>
      <c r="BD100" s="57">
        <f t="shared" si="306"/>
        <v>58572.2</v>
      </c>
      <c r="BE100" s="57">
        <f t="shared" si="307"/>
        <v>7040</v>
      </c>
      <c r="BF100" s="57">
        <f t="shared" si="308"/>
        <v>0</v>
      </c>
      <c r="BG100" s="57">
        <f t="shared" si="309"/>
        <v>0</v>
      </c>
      <c r="BH100" s="57">
        <f t="shared" si="310"/>
        <v>4020</v>
      </c>
      <c r="BI100" s="57">
        <f t="shared" si="311"/>
        <v>26332</v>
      </c>
      <c r="BJ100" s="57">
        <f t="shared" si="312"/>
        <v>0</v>
      </c>
      <c r="BK100" s="157">
        <f t="shared" si="313"/>
        <v>95964.2</v>
      </c>
      <c r="BL100" s="57">
        <f t="shared" si="314"/>
        <v>750</v>
      </c>
      <c r="BM100" s="57">
        <f t="shared" si="315"/>
        <v>0</v>
      </c>
      <c r="BN100" s="57">
        <f t="shared" si="316"/>
        <v>0</v>
      </c>
      <c r="BO100" s="57">
        <f t="shared" si="317"/>
        <v>640</v>
      </c>
      <c r="BP100" s="57">
        <f t="shared" si="318"/>
        <v>0</v>
      </c>
      <c r="BQ100" s="57">
        <f t="shared" si="319"/>
        <v>22050</v>
      </c>
      <c r="BR100" s="57">
        <f t="shared" si="320"/>
        <v>0</v>
      </c>
      <c r="BS100" s="157">
        <f t="shared" si="321"/>
        <v>23440</v>
      </c>
      <c r="BT100" s="157">
        <f t="shared" si="73"/>
        <v>100720.8</v>
      </c>
      <c r="BU100" s="157">
        <f t="shared" si="74"/>
        <v>59702.1</v>
      </c>
      <c r="BV100" s="144"/>
      <c r="BW100" s="158">
        <f t="shared" si="322"/>
        <v>140270</v>
      </c>
      <c r="BX100" s="159">
        <f t="shared" si="323"/>
        <v>143209</v>
      </c>
      <c r="BY100" s="159">
        <f t="shared" si="324"/>
        <v>95964.2</v>
      </c>
      <c r="BZ100" s="159">
        <f t="shared" si="325"/>
        <v>23440</v>
      </c>
      <c r="CA100" s="158">
        <f t="shared" si="326"/>
        <v>100720.8</v>
      </c>
      <c r="CB100" s="157">
        <f t="shared" si="327"/>
        <v>118117.1</v>
      </c>
      <c r="CC100" s="144"/>
      <c r="CD100" s="158">
        <f t="shared" si="328"/>
        <v>159345.02273299999</v>
      </c>
      <c r="CE100" s="159">
        <f t="shared" si="329"/>
        <v>156357.6340887</v>
      </c>
      <c r="CF100" s="159">
        <f t="shared" si="330"/>
        <v>101452.67089418</v>
      </c>
      <c r="CG100" s="159">
        <f t="shared" si="331"/>
        <v>23440</v>
      </c>
      <c r="CH100" s="158">
        <f t="shared" si="332"/>
        <v>110148.83192897</v>
      </c>
      <c r="CI100" s="157">
        <f t="shared" si="333"/>
        <v>128905.15249144001</v>
      </c>
      <c r="CK100" s="61">
        <f t="shared" si="334"/>
        <v>-1.8747925683914812E-2</v>
      </c>
      <c r="CL100" s="62">
        <f t="shared" si="335"/>
        <v>-0.35114987198752956</v>
      </c>
      <c r="CM100" s="63">
        <f t="shared" si="336"/>
        <v>-0.76895630451711772</v>
      </c>
      <c r="CN100" s="61">
        <f t="shared" si="337"/>
        <v>-0.85289782135664016</v>
      </c>
      <c r="CO100" s="29"/>
      <c r="CP100" s="61">
        <f t="shared" si="338"/>
        <v>6.7126450946779952E-5</v>
      </c>
      <c r="CQ100" s="62">
        <f t="shared" si="339"/>
        <v>6.7325287840543687E-5</v>
      </c>
      <c r="CR100" s="63">
        <f t="shared" si="340"/>
        <v>4.2130581182352954E-5</v>
      </c>
      <c r="CS100" s="61">
        <f t="shared" si="341"/>
        <v>9.6850161953603109E-6</v>
      </c>
      <c r="CU100" s="60">
        <f t="shared" si="207"/>
        <v>100</v>
      </c>
      <c r="CV100" s="132">
        <f t="shared" si="208"/>
        <v>98.125207431608516</v>
      </c>
      <c r="CW100" s="132">
        <f t="shared" si="209"/>
        <v>63.668553403249405</v>
      </c>
      <c r="CX100" s="131">
        <f t="shared" si="210"/>
        <v>14.710217864335984</v>
      </c>
    </row>
    <row r="101" spans="1:102">
      <c r="A101" s="29">
        <v>329</v>
      </c>
      <c r="B101" s="29" t="s">
        <v>5</v>
      </c>
      <c r="C101" s="55" t="s">
        <v>131</v>
      </c>
      <c r="D101" s="56">
        <v>0</v>
      </c>
      <c r="E101" s="57">
        <f>VLOOKUP(A101,AuxOPEXSaneparOriginal!$B$4:$F$177,3,0)</f>
        <v>0</v>
      </c>
      <c r="F101" s="156">
        <f>VLOOKUP(A101,AuxOPEXSaneparOriginal!$B$4:$F$177,4,0)</f>
        <v>8256210.5299999965</v>
      </c>
      <c r="G101" s="57">
        <f>VLOOKUP(A101,AuxOPEXSaneparOriginal!$B$4:$K$177,8,0)</f>
        <v>4990237.91</v>
      </c>
      <c r="H101" s="156">
        <f>VLOOKUP(A101,AuxOPEXSaneparOriginal!$B$4:$K$177,9,0)</f>
        <v>0</v>
      </c>
      <c r="I101" s="57">
        <f>VLOOKUP(A101,AuxOPEXSaneparOriginal!$B$4:$N$177,13,0)</f>
        <v>0</v>
      </c>
      <c r="J101" s="57">
        <f>VLOOKUP(A101,AuxOPEXSaneparOriginal!$B$4:$Q$177,16,0)</f>
        <v>0</v>
      </c>
      <c r="K101" s="57">
        <f>VLOOKUP(A101,AuxOPEXSaneparOriginal!$B$4:$V$177,21,0)</f>
        <v>0</v>
      </c>
      <c r="L101" s="157">
        <f t="shared" si="286"/>
        <v>13246448.439999998</v>
      </c>
      <c r="M101" s="19">
        <f>VLOOKUP(A101,AuxOPEXSaneparOriginal!$B$4:$AB$177,27,0)</f>
        <v>0</v>
      </c>
      <c r="N101" s="156">
        <f>VLOOKUP(A101,AuxOPEXSaneparOriginal!$B$4:$AC$177,28,0)</f>
        <v>7796686.8100000024</v>
      </c>
      <c r="O101" s="156">
        <f>VLOOKUP(A101,AuxOPEXSaneparOriginal!$B$4:$AD$177,29,0)</f>
        <v>5964270.870000001</v>
      </c>
      <c r="P101" s="156">
        <f>VLOOKUP(A101,AuxOPEXSaneparOriginal!$B$4:$AE$177,30,0)</f>
        <v>0</v>
      </c>
      <c r="Q101" s="146">
        <f>VLOOKUP(A101,AuxOPEXSaneparOriginal!$B$4:$AF$177,31,0)</f>
        <v>0</v>
      </c>
      <c r="R101" s="146">
        <f>VLOOKUP(A101,AuxOPEXSaneparOriginal!$B$4:$AG$177,32,0)</f>
        <v>0</v>
      </c>
      <c r="S101" s="146">
        <f>VLOOKUP(A101,AuxOPEXSaneparOriginal!$B$4:$AH$177,33,0)</f>
        <v>0</v>
      </c>
      <c r="T101" s="157">
        <f t="shared" si="287"/>
        <v>13760957.680000003</v>
      </c>
      <c r="U101" s="156">
        <f>VLOOKUP(A101,AuxOPEXSaneparOriginal!$B$4:$AI$177,34,0)</f>
        <v>0</v>
      </c>
      <c r="V101" s="156">
        <f>VLOOKUP(A101,AuxOPEXSaneparOriginal!$B$4:$AJ$177,35,0)</f>
        <v>9869610.9999999963</v>
      </c>
      <c r="W101" s="156">
        <f>VLOOKUP(A101,AuxOPEXSaneparOriginal!$B$4:$AK$177,36,0)</f>
        <v>5171800.1500000004</v>
      </c>
      <c r="X101" s="19">
        <f>+VLOOKUP(A101,AuxOPEXSaneparOriginal!$B$4:$AL$177,37,0)</f>
        <v>0</v>
      </c>
      <c r="Y101" s="146">
        <f>VLOOKUP(A101,AuxOPEXSaneparOriginal!$B$4:$AM$177,38,0)</f>
        <v>0</v>
      </c>
      <c r="Z101" s="146">
        <f>VLOOKUP(A101,AuxOPEXSaneparOriginal!$B$4:$AN$177,39,0)</f>
        <v>0</v>
      </c>
      <c r="AA101" s="146">
        <f>VLOOKUP(A101,AuxOPEXSaneparOriginal!$B$4:$AO$177,40,0)</f>
        <v>0</v>
      </c>
      <c r="AB101" s="157">
        <f t="shared" si="288"/>
        <v>15041411.149999997</v>
      </c>
      <c r="AC101" s="156">
        <f>VLOOKUP(A101,AuxOPEXSaneparOriginal!$B$4:$AP$177,41,0)</f>
        <v>0</v>
      </c>
      <c r="AD101" s="156">
        <f>+VLOOKUP(A101,AuxOPEXSaneparOriginal!$B$4:$AQ$177,42,0)</f>
        <v>8716265.3100000024</v>
      </c>
      <c r="AE101" s="156">
        <f>VLOOKUP(A101,AuxOPEXSaneparOriginal!$B$4:$AR$177,43,0)</f>
        <v>10667590.59</v>
      </c>
      <c r="AF101" s="156">
        <f>+VLOOKUP(A101,AuxOPEXSaneparOriginal!$B$4:$AS$177,44,0)</f>
        <v>0</v>
      </c>
      <c r="AG101" s="146">
        <f>VLOOKUP(A101,AuxOPEXSaneparOriginal!$B$4:$AT$177,45,0)</f>
        <v>0</v>
      </c>
      <c r="AH101" s="146">
        <f>VLOOKUP(A101,AuxOPEXSaneparOriginal!$B$4:$AU$177,46,0)</f>
        <v>0</v>
      </c>
      <c r="AI101" s="146">
        <f>VLOOKUP(A101,AuxOPEXSaneparOriginal!$B$4:$AV$177,47,0)</f>
        <v>0</v>
      </c>
      <c r="AJ101" s="157">
        <f t="shared" si="289"/>
        <v>19383855.900000002</v>
      </c>
      <c r="AK101" s="157">
        <f t="shared" ref="AK101:AK132" si="342">AVERAGE(AJ101,AB101,T101,L101)</f>
        <v>15358168.2925</v>
      </c>
      <c r="AL101" s="157">
        <f t="shared" ref="AL101:AL132" si="343">AVERAGE(AJ101,AB101)</f>
        <v>17212633.524999999</v>
      </c>
      <c r="AM101" s="144"/>
      <c r="AN101" s="167">
        <f t="shared" si="290"/>
        <v>0</v>
      </c>
      <c r="AO101" s="168">
        <f t="shared" si="291"/>
        <v>8256210.5299999965</v>
      </c>
      <c r="AP101" s="57">
        <f t="shared" si="292"/>
        <v>4990237.91</v>
      </c>
      <c r="AQ101" s="57">
        <f t="shared" si="293"/>
        <v>0</v>
      </c>
      <c r="AR101" s="57">
        <f t="shared" si="294"/>
        <v>0</v>
      </c>
      <c r="AS101" s="57">
        <f t="shared" si="295"/>
        <v>0</v>
      </c>
      <c r="AT101" s="57">
        <f t="shared" si="296"/>
        <v>0</v>
      </c>
      <c r="AU101" s="157">
        <f t="shared" si="297"/>
        <v>13246448.439999998</v>
      </c>
      <c r="AV101" s="57">
        <f t="shared" si="298"/>
        <v>0</v>
      </c>
      <c r="AW101" s="57">
        <f t="shared" si="299"/>
        <v>7796686.8100000024</v>
      </c>
      <c r="AX101" s="57">
        <f t="shared" si="300"/>
        <v>5964270.870000001</v>
      </c>
      <c r="AY101" s="57">
        <f t="shared" si="301"/>
        <v>0</v>
      </c>
      <c r="AZ101" s="57">
        <f t="shared" si="302"/>
        <v>0</v>
      </c>
      <c r="BA101" s="57">
        <f t="shared" si="303"/>
        <v>0</v>
      </c>
      <c r="BB101" s="57">
        <f t="shared" si="304"/>
        <v>0</v>
      </c>
      <c r="BC101" s="157">
        <f t="shared" si="305"/>
        <v>13760957.680000003</v>
      </c>
      <c r="BD101" s="57">
        <f t="shared" si="306"/>
        <v>0</v>
      </c>
      <c r="BE101" s="57">
        <f t="shared" si="307"/>
        <v>9869610.9999999963</v>
      </c>
      <c r="BF101" s="57">
        <f t="shared" si="308"/>
        <v>5171800.1500000004</v>
      </c>
      <c r="BG101" s="57">
        <f t="shared" si="309"/>
        <v>0</v>
      </c>
      <c r="BH101" s="57">
        <f t="shared" si="310"/>
        <v>0</v>
      </c>
      <c r="BI101" s="57">
        <f t="shared" si="311"/>
        <v>0</v>
      </c>
      <c r="BJ101" s="57">
        <f t="shared" si="312"/>
        <v>0</v>
      </c>
      <c r="BK101" s="157">
        <f t="shared" si="313"/>
        <v>15041411.149999997</v>
      </c>
      <c r="BL101" s="57">
        <f t="shared" si="314"/>
        <v>0</v>
      </c>
      <c r="BM101" s="57">
        <f t="shared" si="315"/>
        <v>8716265.3100000024</v>
      </c>
      <c r="BN101" s="57">
        <f t="shared" si="316"/>
        <v>10667590.59</v>
      </c>
      <c r="BO101" s="57">
        <f t="shared" si="317"/>
        <v>0</v>
      </c>
      <c r="BP101" s="57">
        <f t="shared" si="318"/>
        <v>0</v>
      </c>
      <c r="BQ101" s="57">
        <f t="shared" si="319"/>
        <v>0</v>
      </c>
      <c r="BR101" s="57">
        <f t="shared" si="320"/>
        <v>0</v>
      </c>
      <c r="BS101" s="157">
        <f t="shared" si="321"/>
        <v>19383855.900000002</v>
      </c>
      <c r="BT101" s="157">
        <f t="shared" ref="BT101:BT164" si="344">AVERAGE(BS101,BK101,BC101,AU101)</f>
        <v>15358168.2925</v>
      </c>
      <c r="BU101" s="157">
        <f t="shared" ref="BU101:BU164" si="345">AVERAGE(BS101,BK101)</f>
        <v>17212633.524999999</v>
      </c>
      <c r="BV101" s="144"/>
      <c r="BW101" s="158">
        <f t="shared" si="322"/>
        <v>13246448.439999998</v>
      </c>
      <c r="BX101" s="159">
        <f t="shared" si="323"/>
        <v>13760957.680000003</v>
      </c>
      <c r="BY101" s="159">
        <f t="shared" si="324"/>
        <v>15041411.149999997</v>
      </c>
      <c r="BZ101" s="159">
        <f t="shared" si="325"/>
        <v>19383855.900000002</v>
      </c>
      <c r="CA101" s="158">
        <f t="shared" si="326"/>
        <v>15358168.2925</v>
      </c>
      <c r="CB101" s="157">
        <f t="shared" si="327"/>
        <v>14401184.414999999</v>
      </c>
      <c r="CC101" s="144"/>
      <c r="CD101" s="158">
        <f t="shared" si="328"/>
        <v>15047805.145813873</v>
      </c>
      <c r="CE101" s="159">
        <f t="shared" si="329"/>
        <v>15024410.376718828</v>
      </c>
      <c r="CF101" s="159">
        <f t="shared" si="330"/>
        <v>15901673.073760832</v>
      </c>
      <c r="CG101" s="159">
        <f t="shared" si="331"/>
        <v>19383855.900000002</v>
      </c>
      <c r="CH101" s="158">
        <f t="shared" si="332"/>
        <v>16339436.124073382</v>
      </c>
      <c r="CI101" s="157">
        <f t="shared" si="333"/>
        <v>15474739.109787352</v>
      </c>
      <c r="CK101" s="61">
        <f t="shared" si="334"/>
        <v>-1.5546964403345687E-3</v>
      </c>
      <c r="CL101" s="62">
        <f t="shared" si="335"/>
        <v>5.83891597104782E-2</v>
      </c>
      <c r="CM101" s="63">
        <f t="shared" si="336"/>
        <v>0.21898216685042282</v>
      </c>
      <c r="CN101" s="61">
        <f t="shared" si="337"/>
        <v>0.28815170798462719</v>
      </c>
      <c r="CO101" s="29"/>
      <c r="CP101" s="61">
        <f t="shared" si="338"/>
        <v>6.3391107965117969E-3</v>
      </c>
      <c r="CQ101" s="62">
        <f t="shared" si="339"/>
        <v>6.4692891980779182E-3</v>
      </c>
      <c r="CR101" s="63">
        <f t="shared" si="340"/>
        <v>6.6035395861396614E-3</v>
      </c>
      <c r="CS101" s="61">
        <f t="shared" si="341"/>
        <v>8.0090852525610285E-3</v>
      </c>
      <c r="CU101" s="60">
        <f t="shared" ref="CU101:CU132" si="346">IFERROR(+CD101/$CD101*100,0)</f>
        <v>100</v>
      </c>
      <c r="CV101" s="132">
        <f t="shared" ref="CV101:CV132" si="347">IFERROR(+CE101/$CD101*100,0)</f>
        <v>99.84453035596654</v>
      </c>
      <c r="CW101" s="132">
        <f t="shared" ref="CW101:CW132" si="348">IFERROR(+CF101/$CD101*100,0)</f>
        <v>105.67436858513877</v>
      </c>
      <c r="CX101" s="131">
        <f t="shared" ref="CX101:CX132" si="349">IFERROR(+CG101/$CD101*100,0)</f>
        <v>128.81517079846273</v>
      </c>
    </row>
    <row r="102" spans="1:102">
      <c r="A102" s="29">
        <v>330</v>
      </c>
      <c r="B102" s="29" t="s">
        <v>5</v>
      </c>
      <c r="C102" s="55" t="s">
        <v>132</v>
      </c>
      <c r="D102" s="56">
        <v>0</v>
      </c>
      <c r="E102" s="57">
        <f>VLOOKUP(A102,AuxOPEXSaneparOriginal!$B$4:$F$177,3,0)</f>
        <v>0</v>
      </c>
      <c r="F102" s="156">
        <f>VLOOKUP(A102,AuxOPEXSaneparOriginal!$B$4:$F$177,4,0)</f>
        <v>0</v>
      </c>
      <c r="G102" s="57">
        <f>VLOOKUP(A102,AuxOPEXSaneparOriginal!$B$4:$K$177,8,0)</f>
        <v>0</v>
      </c>
      <c r="H102" s="156">
        <f>VLOOKUP(A102,AuxOPEXSaneparOriginal!$B$4:$K$177,9,0)</f>
        <v>60442354.280000001</v>
      </c>
      <c r="I102" s="57">
        <f>VLOOKUP(A102,AuxOPEXSaneparOriginal!$B$4:$N$177,13,0)</f>
        <v>0</v>
      </c>
      <c r="J102" s="57">
        <f>VLOOKUP(A102,AuxOPEXSaneparOriginal!$B$4:$Q$177,16,0)</f>
        <v>0</v>
      </c>
      <c r="K102" s="57">
        <f>VLOOKUP(A102,AuxOPEXSaneparOriginal!$B$4:$V$177,21,0)</f>
        <v>0</v>
      </c>
      <c r="L102" s="157">
        <f t="shared" si="286"/>
        <v>60442354.280000001</v>
      </c>
      <c r="M102" s="19">
        <f>VLOOKUP(A102,AuxOPEXSaneparOriginal!$B$4:$AB$177,27,0)</f>
        <v>0</v>
      </c>
      <c r="N102" s="156">
        <f>VLOOKUP(A102,AuxOPEXSaneparOriginal!$B$4:$AC$177,28,0)</f>
        <v>0</v>
      </c>
      <c r="O102" s="156">
        <f>VLOOKUP(A102,AuxOPEXSaneparOriginal!$B$4:$AD$177,29,0)</f>
        <v>0</v>
      </c>
      <c r="P102" s="156">
        <f>VLOOKUP(A102,AuxOPEXSaneparOriginal!$B$4:$AE$177,30,0)</f>
        <v>69191097.970000029</v>
      </c>
      <c r="Q102" s="146">
        <f>VLOOKUP(A102,AuxOPEXSaneparOriginal!$B$4:$AF$177,31,0)</f>
        <v>0</v>
      </c>
      <c r="R102" s="146">
        <f>VLOOKUP(A102,AuxOPEXSaneparOriginal!$B$4:$AG$177,32,0)</f>
        <v>0</v>
      </c>
      <c r="S102" s="146">
        <f>VLOOKUP(A102,AuxOPEXSaneparOriginal!$B$4:$AH$177,33,0)</f>
        <v>0</v>
      </c>
      <c r="T102" s="157">
        <f t="shared" si="287"/>
        <v>69191097.970000029</v>
      </c>
      <c r="U102" s="156">
        <f>VLOOKUP(A102,AuxOPEXSaneparOriginal!$B$4:$AI$177,34,0)</f>
        <v>0</v>
      </c>
      <c r="V102" s="156">
        <f>VLOOKUP(A102,AuxOPEXSaneparOriginal!$B$4:$AJ$177,35,0)</f>
        <v>0</v>
      </c>
      <c r="W102" s="156">
        <f>VLOOKUP(A102,AuxOPEXSaneparOriginal!$B$4:$AK$177,36,0)</f>
        <v>0</v>
      </c>
      <c r="X102" s="19">
        <f>+VLOOKUP(A102,AuxOPEXSaneparOriginal!$B$4:$AL$177,37,0)</f>
        <v>78602428.810000017</v>
      </c>
      <c r="Y102" s="146">
        <f>VLOOKUP(A102,AuxOPEXSaneparOriginal!$B$4:$AM$177,38,0)</f>
        <v>0</v>
      </c>
      <c r="Z102" s="146">
        <f>VLOOKUP(A102,AuxOPEXSaneparOriginal!$B$4:$AN$177,39,0)</f>
        <v>0</v>
      </c>
      <c r="AA102" s="146">
        <f>VLOOKUP(A102,AuxOPEXSaneparOriginal!$B$4:$AO$177,40,0)</f>
        <v>0</v>
      </c>
      <c r="AB102" s="157">
        <f t="shared" si="288"/>
        <v>78602428.810000017</v>
      </c>
      <c r="AC102" s="156">
        <f>VLOOKUP(A102,AuxOPEXSaneparOriginal!$B$4:$AP$177,41,0)</f>
        <v>0</v>
      </c>
      <c r="AD102" s="156">
        <f>+VLOOKUP(A102,AuxOPEXSaneparOriginal!$B$4:$AQ$177,42,0)</f>
        <v>0</v>
      </c>
      <c r="AE102" s="156">
        <f>VLOOKUP(A102,AuxOPEXSaneparOriginal!$B$4:$AR$177,43,0)</f>
        <v>0</v>
      </c>
      <c r="AF102" s="156">
        <f>+VLOOKUP(A102,AuxOPEXSaneparOriginal!$B$4:$AS$177,44,0)</f>
        <v>96048796.520000041</v>
      </c>
      <c r="AG102" s="146">
        <f>VLOOKUP(A102,AuxOPEXSaneparOriginal!$B$4:$AT$177,45,0)</f>
        <v>0</v>
      </c>
      <c r="AH102" s="146">
        <f>VLOOKUP(A102,AuxOPEXSaneparOriginal!$B$4:$AU$177,46,0)</f>
        <v>0</v>
      </c>
      <c r="AI102" s="146">
        <f>VLOOKUP(A102,AuxOPEXSaneparOriginal!$B$4:$AV$177,47,0)</f>
        <v>0</v>
      </c>
      <c r="AJ102" s="157">
        <f t="shared" si="289"/>
        <v>96048796.520000041</v>
      </c>
      <c r="AK102" s="157">
        <f t="shared" si="342"/>
        <v>76071169.395000011</v>
      </c>
      <c r="AL102" s="157">
        <f t="shared" si="343"/>
        <v>87325612.665000021</v>
      </c>
      <c r="AM102" s="144"/>
      <c r="AN102" s="167">
        <f t="shared" si="290"/>
        <v>0</v>
      </c>
      <c r="AO102" s="168">
        <f t="shared" si="291"/>
        <v>0</v>
      </c>
      <c r="AP102" s="57">
        <f t="shared" si="292"/>
        <v>0</v>
      </c>
      <c r="AQ102" s="57">
        <f t="shared" si="293"/>
        <v>60442354.280000001</v>
      </c>
      <c r="AR102" s="57">
        <f t="shared" si="294"/>
        <v>0</v>
      </c>
      <c r="AS102" s="57">
        <f t="shared" si="295"/>
        <v>0</v>
      </c>
      <c r="AT102" s="57">
        <f t="shared" si="296"/>
        <v>0</v>
      </c>
      <c r="AU102" s="157">
        <f t="shared" si="297"/>
        <v>60442354.280000001</v>
      </c>
      <c r="AV102" s="57">
        <f t="shared" si="298"/>
        <v>0</v>
      </c>
      <c r="AW102" s="57">
        <f t="shared" si="299"/>
        <v>0</v>
      </c>
      <c r="AX102" s="57">
        <f t="shared" si="300"/>
        <v>0</v>
      </c>
      <c r="AY102" s="57">
        <f t="shared" si="301"/>
        <v>69191097.970000029</v>
      </c>
      <c r="AZ102" s="57">
        <f t="shared" si="302"/>
        <v>0</v>
      </c>
      <c r="BA102" s="57">
        <f t="shared" si="303"/>
        <v>0</v>
      </c>
      <c r="BB102" s="57">
        <f t="shared" si="304"/>
        <v>0</v>
      </c>
      <c r="BC102" s="157">
        <f t="shared" si="305"/>
        <v>69191097.970000029</v>
      </c>
      <c r="BD102" s="57">
        <f t="shared" si="306"/>
        <v>0</v>
      </c>
      <c r="BE102" s="57">
        <f t="shared" si="307"/>
        <v>0</v>
      </c>
      <c r="BF102" s="57">
        <f t="shared" si="308"/>
        <v>0</v>
      </c>
      <c r="BG102" s="57">
        <f t="shared" si="309"/>
        <v>78602428.810000017</v>
      </c>
      <c r="BH102" s="57">
        <f t="shared" si="310"/>
        <v>0</v>
      </c>
      <c r="BI102" s="57">
        <f t="shared" si="311"/>
        <v>0</v>
      </c>
      <c r="BJ102" s="57">
        <f t="shared" si="312"/>
        <v>0</v>
      </c>
      <c r="BK102" s="157">
        <f t="shared" si="313"/>
        <v>78602428.810000017</v>
      </c>
      <c r="BL102" s="57">
        <f t="shared" si="314"/>
        <v>0</v>
      </c>
      <c r="BM102" s="57">
        <f t="shared" si="315"/>
        <v>0</v>
      </c>
      <c r="BN102" s="57">
        <f t="shared" si="316"/>
        <v>0</v>
      </c>
      <c r="BO102" s="57">
        <f t="shared" si="317"/>
        <v>96048796.520000041</v>
      </c>
      <c r="BP102" s="57">
        <f t="shared" si="318"/>
        <v>0</v>
      </c>
      <c r="BQ102" s="57">
        <f t="shared" si="319"/>
        <v>0</v>
      </c>
      <c r="BR102" s="57">
        <f t="shared" si="320"/>
        <v>0</v>
      </c>
      <c r="BS102" s="157">
        <f t="shared" si="321"/>
        <v>96048796.520000041</v>
      </c>
      <c r="BT102" s="157">
        <f t="shared" si="344"/>
        <v>76071169.395000011</v>
      </c>
      <c r="BU102" s="157">
        <f t="shared" si="345"/>
        <v>87325612.665000021</v>
      </c>
      <c r="BV102" s="144"/>
      <c r="BW102" s="158">
        <f t="shared" si="322"/>
        <v>60442354.280000001</v>
      </c>
      <c r="BX102" s="159">
        <f t="shared" si="323"/>
        <v>69191097.970000029</v>
      </c>
      <c r="BY102" s="159">
        <f t="shared" si="324"/>
        <v>78602428.810000017</v>
      </c>
      <c r="BZ102" s="159">
        <f t="shared" si="325"/>
        <v>96048796.520000041</v>
      </c>
      <c r="CA102" s="158">
        <f t="shared" si="326"/>
        <v>76071169.395000026</v>
      </c>
      <c r="CB102" s="157">
        <f t="shared" si="327"/>
        <v>73896763.390000015</v>
      </c>
      <c r="CC102" s="144"/>
      <c r="CD102" s="158">
        <f t="shared" si="328"/>
        <v>68661783.109593213</v>
      </c>
      <c r="CE102" s="159">
        <f t="shared" si="329"/>
        <v>75543830.196346998</v>
      </c>
      <c r="CF102" s="159">
        <f t="shared" si="330"/>
        <v>83097929.660687461</v>
      </c>
      <c r="CG102" s="159">
        <f t="shared" si="331"/>
        <v>96048796.520000041</v>
      </c>
      <c r="CH102" s="158">
        <f t="shared" si="332"/>
        <v>80838084.871656924</v>
      </c>
      <c r="CI102" s="157">
        <f t="shared" si="333"/>
        <v>79320879.928517222</v>
      </c>
      <c r="CK102" s="61">
        <f t="shared" si="334"/>
        <v>0.10023111511347049</v>
      </c>
      <c r="CL102" s="62">
        <f t="shared" si="335"/>
        <v>9.9996246479778783E-2</v>
      </c>
      <c r="CM102" s="63">
        <f t="shared" si="336"/>
        <v>0.15585065611375226</v>
      </c>
      <c r="CN102" s="61">
        <f t="shared" si="337"/>
        <v>0.39886836854635077</v>
      </c>
      <c r="CO102" s="29"/>
      <c r="CP102" s="61">
        <f t="shared" si="338"/>
        <v>2.892479311103098E-2</v>
      </c>
      <c r="CQ102" s="62">
        <f t="shared" si="339"/>
        <v>3.2528057502206636E-2</v>
      </c>
      <c r="CR102" s="63">
        <f t="shared" si="340"/>
        <v>3.4508347989248324E-2</v>
      </c>
      <c r="CS102" s="61">
        <f t="shared" si="341"/>
        <v>3.968575724577933E-2</v>
      </c>
      <c r="CU102" s="60">
        <f t="shared" si="346"/>
        <v>100</v>
      </c>
      <c r="CV102" s="132">
        <f t="shared" si="347"/>
        <v>110.02311151134705</v>
      </c>
      <c r="CW102" s="132">
        <f t="shared" si="348"/>
        <v>121.02500968850789</v>
      </c>
      <c r="CX102" s="131">
        <f t="shared" si="349"/>
        <v>139.88683685463508</v>
      </c>
    </row>
    <row r="103" spans="1:102">
      <c r="A103" s="29">
        <v>331</v>
      </c>
      <c r="B103" s="29" t="s">
        <v>5</v>
      </c>
      <c r="C103" s="55" t="s">
        <v>133</v>
      </c>
      <c r="D103" s="56">
        <v>0</v>
      </c>
      <c r="E103" s="57">
        <f>VLOOKUP(A103,AuxOPEXSaneparOriginal!$B$4:$F$177,3,0)</f>
        <v>0</v>
      </c>
      <c r="F103" s="156">
        <f>VLOOKUP(A103,AuxOPEXSaneparOriginal!$B$4:$F$177,4,0)</f>
        <v>0</v>
      </c>
      <c r="G103" s="57">
        <f>VLOOKUP(A103,AuxOPEXSaneparOriginal!$B$4:$K$177,8,0)</f>
        <v>0</v>
      </c>
      <c r="H103" s="156">
        <f>VLOOKUP(A103,AuxOPEXSaneparOriginal!$B$4:$K$177,9,0)</f>
        <v>0</v>
      </c>
      <c r="I103" s="57">
        <f>VLOOKUP(A103,AuxOPEXSaneparOriginal!$B$4:$N$177,13,0)</f>
        <v>0</v>
      </c>
      <c r="J103" s="57">
        <f>VLOOKUP(A103,AuxOPEXSaneparOriginal!$B$4:$Q$177,16,0)</f>
        <v>3510848.61</v>
      </c>
      <c r="K103" s="57">
        <f>VLOOKUP(A103,AuxOPEXSaneparOriginal!$B$4:$V$177,21,0)</f>
        <v>0</v>
      </c>
      <c r="L103" s="157">
        <f t="shared" si="286"/>
        <v>3510848.61</v>
      </c>
      <c r="M103" s="19">
        <f>VLOOKUP(A103,AuxOPEXSaneparOriginal!$B$4:$AB$177,27,0)</f>
        <v>0</v>
      </c>
      <c r="N103" s="156">
        <f>VLOOKUP(A103,AuxOPEXSaneparOriginal!$B$4:$AC$177,28,0)</f>
        <v>0</v>
      </c>
      <c r="O103" s="156">
        <f>VLOOKUP(A103,AuxOPEXSaneparOriginal!$B$4:$AD$177,29,0)</f>
        <v>0</v>
      </c>
      <c r="P103" s="156">
        <f>VLOOKUP(A103,AuxOPEXSaneparOriginal!$B$4:$AE$177,30,0)</f>
        <v>0</v>
      </c>
      <c r="Q103" s="146">
        <f>VLOOKUP(A103,AuxOPEXSaneparOriginal!$B$4:$AF$177,31,0)</f>
        <v>0</v>
      </c>
      <c r="R103" s="146">
        <f>VLOOKUP(A103,AuxOPEXSaneparOriginal!$B$4:$AG$177,32,0)</f>
        <v>4416338.67</v>
      </c>
      <c r="S103" s="146">
        <f>VLOOKUP(A103,AuxOPEXSaneparOriginal!$B$4:$AH$177,33,0)</f>
        <v>0</v>
      </c>
      <c r="T103" s="157">
        <f t="shared" si="287"/>
        <v>4416338.67</v>
      </c>
      <c r="U103" s="156">
        <f>VLOOKUP(A103,AuxOPEXSaneparOriginal!$B$4:$AI$177,34,0)</f>
        <v>0</v>
      </c>
      <c r="V103" s="156">
        <f>VLOOKUP(A103,AuxOPEXSaneparOriginal!$B$4:$AJ$177,35,0)</f>
        <v>0</v>
      </c>
      <c r="W103" s="156">
        <f>VLOOKUP(A103,AuxOPEXSaneparOriginal!$B$4:$AK$177,36,0)</f>
        <v>0</v>
      </c>
      <c r="X103" s="19">
        <f>+VLOOKUP(A103,AuxOPEXSaneparOriginal!$B$4:$AL$177,37,0)</f>
        <v>0</v>
      </c>
      <c r="Y103" s="146">
        <f>VLOOKUP(A103,AuxOPEXSaneparOriginal!$B$4:$AM$177,38,0)</f>
        <v>0</v>
      </c>
      <c r="Z103" s="146">
        <f>VLOOKUP(A103,AuxOPEXSaneparOriginal!$B$4:$AN$177,39,0)</f>
        <v>5296739.8499999996</v>
      </c>
      <c r="AA103" s="146">
        <f>VLOOKUP(A103,AuxOPEXSaneparOriginal!$B$4:$AO$177,40,0)</f>
        <v>0</v>
      </c>
      <c r="AB103" s="157">
        <f t="shared" si="288"/>
        <v>5296739.8499999996</v>
      </c>
      <c r="AC103" s="156">
        <f>VLOOKUP(A103,AuxOPEXSaneparOriginal!$B$4:$AP$177,41,0)</f>
        <v>0</v>
      </c>
      <c r="AD103" s="156">
        <f>+VLOOKUP(A103,AuxOPEXSaneparOriginal!$B$4:$AQ$177,42,0)</f>
        <v>0</v>
      </c>
      <c r="AE103" s="156">
        <f>VLOOKUP(A103,AuxOPEXSaneparOriginal!$B$4:$AR$177,43,0)</f>
        <v>0</v>
      </c>
      <c r="AF103" s="156">
        <f>+VLOOKUP(A103,AuxOPEXSaneparOriginal!$B$4:$AS$177,44,0)</f>
        <v>0</v>
      </c>
      <c r="AG103" s="146">
        <f>VLOOKUP(A103,AuxOPEXSaneparOriginal!$B$4:$AT$177,45,0)</f>
        <v>6077437.3700000001</v>
      </c>
      <c r="AH103" s="146">
        <f>VLOOKUP(A103,AuxOPEXSaneparOriginal!$B$4:$AU$177,46,0)</f>
        <v>0</v>
      </c>
      <c r="AI103" s="146">
        <f>VLOOKUP(A103,AuxOPEXSaneparOriginal!$B$4:$AV$177,47,0)</f>
        <v>0</v>
      </c>
      <c r="AJ103" s="157">
        <f t="shared" si="289"/>
        <v>6077437.3700000001</v>
      </c>
      <c r="AK103" s="157">
        <f t="shared" si="342"/>
        <v>4825341.125</v>
      </c>
      <c r="AL103" s="157">
        <f t="shared" si="343"/>
        <v>5687088.6099999994</v>
      </c>
      <c r="AM103" s="144"/>
      <c r="AN103" s="167">
        <f t="shared" si="290"/>
        <v>0</v>
      </c>
      <c r="AO103" s="168">
        <f t="shared" si="291"/>
        <v>0</v>
      </c>
      <c r="AP103" s="57">
        <f t="shared" si="292"/>
        <v>0</v>
      </c>
      <c r="AQ103" s="57">
        <f t="shared" si="293"/>
        <v>0</v>
      </c>
      <c r="AR103" s="57">
        <f t="shared" si="294"/>
        <v>0</v>
      </c>
      <c r="AS103" s="57">
        <f t="shared" si="295"/>
        <v>3510848.61</v>
      </c>
      <c r="AT103" s="57">
        <f t="shared" si="296"/>
        <v>0</v>
      </c>
      <c r="AU103" s="157">
        <f t="shared" si="297"/>
        <v>3510848.61</v>
      </c>
      <c r="AV103" s="57">
        <f t="shared" si="298"/>
        <v>0</v>
      </c>
      <c r="AW103" s="57">
        <f t="shared" si="299"/>
        <v>0</v>
      </c>
      <c r="AX103" s="57">
        <f t="shared" si="300"/>
        <v>0</v>
      </c>
      <c r="AY103" s="57">
        <f t="shared" si="301"/>
        <v>0</v>
      </c>
      <c r="AZ103" s="57">
        <f t="shared" si="302"/>
        <v>0</v>
      </c>
      <c r="BA103" s="57">
        <f t="shared" si="303"/>
        <v>4416338.67</v>
      </c>
      <c r="BB103" s="57">
        <f t="shared" si="304"/>
        <v>0</v>
      </c>
      <c r="BC103" s="157">
        <f t="shared" si="305"/>
        <v>4416338.67</v>
      </c>
      <c r="BD103" s="57">
        <f t="shared" si="306"/>
        <v>0</v>
      </c>
      <c r="BE103" s="57">
        <f t="shared" si="307"/>
        <v>0</v>
      </c>
      <c r="BF103" s="57">
        <f t="shared" si="308"/>
        <v>0</v>
      </c>
      <c r="BG103" s="57">
        <f t="shared" si="309"/>
        <v>0</v>
      </c>
      <c r="BH103" s="57">
        <f t="shared" si="310"/>
        <v>0</v>
      </c>
      <c r="BI103" s="57">
        <f t="shared" si="311"/>
        <v>5296739.8499999996</v>
      </c>
      <c r="BJ103" s="57">
        <f t="shared" si="312"/>
        <v>0</v>
      </c>
      <c r="BK103" s="157">
        <f t="shared" si="313"/>
        <v>5296739.8499999996</v>
      </c>
      <c r="BL103" s="57">
        <f t="shared" si="314"/>
        <v>0</v>
      </c>
      <c r="BM103" s="57">
        <f t="shared" si="315"/>
        <v>0</v>
      </c>
      <c r="BN103" s="57">
        <f t="shared" si="316"/>
        <v>0</v>
      </c>
      <c r="BO103" s="57">
        <f t="shared" si="317"/>
        <v>0</v>
      </c>
      <c r="BP103" s="57">
        <f t="shared" si="318"/>
        <v>6077437.3700000001</v>
      </c>
      <c r="BQ103" s="57">
        <f t="shared" si="319"/>
        <v>0</v>
      </c>
      <c r="BR103" s="57">
        <f t="shared" si="320"/>
        <v>0</v>
      </c>
      <c r="BS103" s="157">
        <f t="shared" si="321"/>
        <v>6077437.3700000001</v>
      </c>
      <c r="BT103" s="157">
        <f t="shared" si="344"/>
        <v>4825341.125</v>
      </c>
      <c r="BU103" s="157">
        <f t="shared" si="345"/>
        <v>5687088.6099999994</v>
      </c>
      <c r="BV103" s="144"/>
      <c r="BW103" s="158">
        <f t="shared" si="322"/>
        <v>3510848.61</v>
      </c>
      <c r="BX103" s="159">
        <f t="shared" si="323"/>
        <v>4416338.67</v>
      </c>
      <c r="BY103" s="159">
        <f t="shared" si="324"/>
        <v>5296739.8499999996</v>
      </c>
      <c r="BZ103" s="159">
        <f t="shared" si="325"/>
        <v>6077437.3700000001</v>
      </c>
      <c r="CA103" s="158">
        <f t="shared" si="326"/>
        <v>4825341.125</v>
      </c>
      <c r="CB103" s="157">
        <f t="shared" si="327"/>
        <v>4856539.26</v>
      </c>
      <c r="CC103" s="144"/>
      <c r="CD103" s="158">
        <f t="shared" si="328"/>
        <v>3988281.5396918184</v>
      </c>
      <c r="CE103" s="159">
        <f t="shared" si="329"/>
        <v>4821821.7135489807</v>
      </c>
      <c r="CF103" s="159">
        <f t="shared" si="330"/>
        <v>5599675.7625670647</v>
      </c>
      <c r="CG103" s="159">
        <f t="shared" si="331"/>
        <v>6077437.3700000001</v>
      </c>
      <c r="CH103" s="158">
        <f t="shared" si="332"/>
        <v>5121804.0964519661</v>
      </c>
      <c r="CI103" s="157">
        <f t="shared" si="333"/>
        <v>5210748.7380580232</v>
      </c>
      <c r="CK103" s="61">
        <f t="shared" si="334"/>
        <v>0.20899732517919767</v>
      </c>
      <c r="CL103" s="62">
        <f t="shared" si="335"/>
        <v>0.16131953755825701</v>
      </c>
      <c r="CM103" s="63">
        <f t="shared" si="336"/>
        <v>8.5319512716556689E-2</v>
      </c>
      <c r="CN103" s="61">
        <f t="shared" si="337"/>
        <v>0.5238235589731246</v>
      </c>
      <c r="CO103" s="29"/>
      <c r="CP103" s="61">
        <f t="shared" si="338"/>
        <v>1.6801226705691564E-3</v>
      </c>
      <c r="CQ103" s="62">
        <f t="shared" si="339"/>
        <v>2.0762052116771565E-3</v>
      </c>
      <c r="CR103" s="63">
        <f t="shared" si="340"/>
        <v>2.325395598069165E-3</v>
      </c>
      <c r="CS103" s="61">
        <f t="shared" si="341"/>
        <v>2.5110955356116883E-3</v>
      </c>
      <c r="CU103" s="60">
        <f t="shared" si="346"/>
        <v>100</v>
      </c>
      <c r="CV103" s="132">
        <f t="shared" si="347"/>
        <v>120.89973251791977</v>
      </c>
      <c r="CW103" s="132">
        <f t="shared" si="348"/>
        <v>140.40322145862757</v>
      </c>
      <c r="CX103" s="131">
        <f t="shared" si="349"/>
        <v>152.38235589731246</v>
      </c>
    </row>
    <row r="104" spans="1:102">
      <c r="A104" s="29">
        <v>332</v>
      </c>
      <c r="B104" s="29" t="s">
        <v>5</v>
      </c>
      <c r="C104" s="55" t="s">
        <v>134</v>
      </c>
      <c r="D104" s="56">
        <v>0</v>
      </c>
      <c r="E104" s="57">
        <f>VLOOKUP(A104,AuxOPEXSaneparOriginal!$B$4:$F$177,3,0)</f>
        <v>1534392.01</v>
      </c>
      <c r="F104" s="156">
        <f>VLOOKUP(A104,AuxOPEXSaneparOriginal!$B$4:$F$177,4,0)</f>
        <v>29519.599999999999</v>
      </c>
      <c r="G104" s="57">
        <f>VLOOKUP(A104,AuxOPEXSaneparOriginal!$B$4:$K$177,8,0)</f>
        <v>0</v>
      </c>
      <c r="H104" s="156">
        <f>VLOOKUP(A104,AuxOPEXSaneparOriginal!$B$4:$K$177,9,0)</f>
        <v>0</v>
      </c>
      <c r="I104" s="57">
        <f>VLOOKUP(A104,AuxOPEXSaneparOriginal!$B$4:$N$177,13,0)</f>
        <v>0</v>
      </c>
      <c r="J104" s="57">
        <f>VLOOKUP(A104,AuxOPEXSaneparOriginal!$B$4:$Q$177,16,0)</f>
        <v>0</v>
      </c>
      <c r="K104" s="57">
        <f>VLOOKUP(A104,AuxOPEXSaneparOriginal!$B$4:$V$177,21,0)</f>
        <v>0</v>
      </c>
      <c r="L104" s="157">
        <f t="shared" si="286"/>
        <v>1563911.61</v>
      </c>
      <c r="M104" s="19">
        <f>VLOOKUP(A104,AuxOPEXSaneparOriginal!$B$4:$AB$177,27,0)</f>
        <v>1874837.7499999998</v>
      </c>
      <c r="N104" s="156">
        <f>VLOOKUP(A104,AuxOPEXSaneparOriginal!$B$4:$AC$177,28,0)</f>
        <v>7605.23</v>
      </c>
      <c r="O104" s="156">
        <f>VLOOKUP(A104,AuxOPEXSaneparOriginal!$B$4:$AD$177,29,0)</f>
        <v>0</v>
      </c>
      <c r="P104" s="156">
        <f>VLOOKUP(A104,AuxOPEXSaneparOriginal!$B$4:$AE$177,30,0)</f>
        <v>0</v>
      </c>
      <c r="Q104" s="146">
        <f>VLOOKUP(A104,AuxOPEXSaneparOriginal!$B$4:$AF$177,31,0)</f>
        <v>0</v>
      </c>
      <c r="R104" s="146">
        <f>VLOOKUP(A104,AuxOPEXSaneparOriginal!$B$4:$AG$177,32,0)</f>
        <v>0</v>
      </c>
      <c r="S104" s="146">
        <f>VLOOKUP(A104,AuxOPEXSaneparOriginal!$B$4:$AH$177,33,0)</f>
        <v>0</v>
      </c>
      <c r="T104" s="157">
        <f t="shared" si="287"/>
        <v>1882442.9799999997</v>
      </c>
      <c r="U104" s="156">
        <f>VLOOKUP(A104,AuxOPEXSaneparOriginal!$B$4:$AI$177,34,0)</f>
        <v>3243477.55</v>
      </c>
      <c r="V104" s="156">
        <f>VLOOKUP(A104,AuxOPEXSaneparOriginal!$B$4:$AJ$177,35,0)</f>
        <v>39009.5</v>
      </c>
      <c r="W104" s="156">
        <f>VLOOKUP(A104,AuxOPEXSaneparOriginal!$B$4:$AK$177,36,0)</f>
        <v>0</v>
      </c>
      <c r="X104" s="19">
        <f>+VLOOKUP(A104,AuxOPEXSaneparOriginal!$B$4:$AL$177,37,0)</f>
        <v>0</v>
      </c>
      <c r="Y104" s="146">
        <f>VLOOKUP(A104,AuxOPEXSaneparOriginal!$B$4:$AM$177,38,0)</f>
        <v>0</v>
      </c>
      <c r="Z104" s="146">
        <f>VLOOKUP(A104,AuxOPEXSaneparOriginal!$B$4:$AN$177,39,0)</f>
        <v>0</v>
      </c>
      <c r="AA104" s="146">
        <f>VLOOKUP(A104,AuxOPEXSaneparOriginal!$B$4:$AO$177,40,0)</f>
        <v>0</v>
      </c>
      <c r="AB104" s="157">
        <f t="shared" si="288"/>
        <v>3282487.05</v>
      </c>
      <c r="AC104" s="156">
        <f>VLOOKUP(A104,AuxOPEXSaneparOriginal!$B$4:$AP$177,41,0)</f>
        <v>2145022.42</v>
      </c>
      <c r="AD104" s="156">
        <f>+VLOOKUP(A104,AuxOPEXSaneparOriginal!$B$4:$AQ$177,42,0)</f>
        <v>75918.91</v>
      </c>
      <c r="AE104" s="156">
        <f>VLOOKUP(A104,AuxOPEXSaneparOriginal!$B$4:$AR$177,43,0)</f>
        <v>0</v>
      </c>
      <c r="AF104" s="156">
        <f>+VLOOKUP(A104,AuxOPEXSaneparOriginal!$B$4:$AS$177,44,0)</f>
        <v>0</v>
      </c>
      <c r="AG104" s="146">
        <f>VLOOKUP(A104,AuxOPEXSaneparOriginal!$B$4:$AT$177,45,0)</f>
        <v>0</v>
      </c>
      <c r="AH104" s="146">
        <f>VLOOKUP(A104,AuxOPEXSaneparOriginal!$B$4:$AU$177,46,0)</f>
        <v>0</v>
      </c>
      <c r="AI104" s="146">
        <f>VLOOKUP(A104,AuxOPEXSaneparOriginal!$B$4:$AV$177,47,0)</f>
        <v>0</v>
      </c>
      <c r="AJ104" s="157">
        <f t="shared" si="289"/>
        <v>2220941.33</v>
      </c>
      <c r="AK104" s="157">
        <f t="shared" si="342"/>
        <v>2237445.7424999997</v>
      </c>
      <c r="AL104" s="157">
        <f t="shared" si="343"/>
        <v>2751714.19</v>
      </c>
      <c r="AM104" s="144"/>
      <c r="AN104" s="167">
        <f t="shared" si="290"/>
        <v>1534392.01</v>
      </c>
      <c r="AO104" s="168">
        <f t="shared" si="291"/>
        <v>29519.599999999999</v>
      </c>
      <c r="AP104" s="57">
        <f t="shared" si="292"/>
        <v>0</v>
      </c>
      <c r="AQ104" s="57">
        <f t="shared" si="293"/>
        <v>0</v>
      </c>
      <c r="AR104" s="57">
        <f t="shared" si="294"/>
        <v>0</v>
      </c>
      <c r="AS104" s="57">
        <f t="shared" si="295"/>
        <v>0</v>
      </c>
      <c r="AT104" s="57">
        <f t="shared" si="296"/>
        <v>0</v>
      </c>
      <c r="AU104" s="157">
        <f t="shared" si="297"/>
        <v>1563911.61</v>
      </c>
      <c r="AV104" s="57">
        <f t="shared" si="298"/>
        <v>1874837.7499999998</v>
      </c>
      <c r="AW104" s="57">
        <f t="shared" si="299"/>
        <v>7605.23</v>
      </c>
      <c r="AX104" s="57">
        <f t="shared" si="300"/>
        <v>0</v>
      </c>
      <c r="AY104" s="57">
        <f t="shared" si="301"/>
        <v>0</v>
      </c>
      <c r="AZ104" s="57">
        <f t="shared" si="302"/>
        <v>0</v>
      </c>
      <c r="BA104" s="57">
        <f t="shared" si="303"/>
        <v>0</v>
      </c>
      <c r="BB104" s="57">
        <f t="shared" si="304"/>
        <v>0</v>
      </c>
      <c r="BC104" s="157">
        <f t="shared" si="305"/>
        <v>1882442.9799999997</v>
      </c>
      <c r="BD104" s="57">
        <f t="shared" si="306"/>
        <v>3243477.55</v>
      </c>
      <c r="BE104" s="57">
        <f t="shared" si="307"/>
        <v>39009.5</v>
      </c>
      <c r="BF104" s="57">
        <f t="shared" si="308"/>
        <v>0</v>
      </c>
      <c r="BG104" s="57">
        <f t="shared" si="309"/>
        <v>0</v>
      </c>
      <c r="BH104" s="57">
        <f t="shared" si="310"/>
        <v>0</v>
      </c>
      <c r="BI104" s="57">
        <f t="shared" si="311"/>
        <v>0</v>
      </c>
      <c r="BJ104" s="57">
        <f t="shared" si="312"/>
        <v>0</v>
      </c>
      <c r="BK104" s="157">
        <f t="shared" si="313"/>
        <v>3282487.05</v>
      </c>
      <c r="BL104" s="57">
        <f t="shared" si="314"/>
        <v>2145022.42</v>
      </c>
      <c r="BM104" s="57">
        <f t="shared" si="315"/>
        <v>75918.91</v>
      </c>
      <c r="BN104" s="57">
        <f t="shared" si="316"/>
        <v>0</v>
      </c>
      <c r="BO104" s="57">
        <f t="shared" si="317"/>
        <v>0</v>
      </c>
      <c r="BP104" s="57">
        <f t="shared" si="318"/>
        <v>0</v>
      </c>
      <c r="BQ104" s="57">
        <f t="shared" si="319"/>
        <v>0</v>
      </c>
      <c r="BR104" s="57">
        <f t="shared" si="320"/>
        <v>0</v>
      </c>
      <c r="BS104" s="157">
        <f t="shared" si="321"/>
        <v>2220941.33</v>
      </c>
      <c r="BT104" s="157">
        <f t="shared" si="344"/>
        <v>2237445.7424999997</v>
      </c>
      <c r="BU104" s="157">
        <f t="shared" si="345"/>
        <v>2751714.19</v>
      </c>
      <c r="BV104" s="144"/>
      <c r="BW104" s="158">
        <f t="shared" si="322"/>
        <v>1563911.61</v>
      </c>
      <c r="BX104" s="159">
        <f t="shared" si="323"/>
        <v>1882442.9799999997</v>
      </c>
      <c r="BY104" s="159">
        <f t="shared" si="324"/>
        <v>3282487.05</v>
      </c>
      <c r="BZ104" s="159">
        <f t="shared" si="325"/>
        <v>2220941.33</v>
      </c>
      <c r="CA104" s="158">
        <f t="shared" si="326"/>
        <v>2237445.7424999997</v>
      </c>
      <c r="CB104" s="157">
        <f t="shared" si="327"/>
        <v>2051692.1549999998</v>
      </c>
      <c r="CC104" s="144"/>
      <c r="CD104" s="158">
        <f t="shared" si="328"/>
        <v>1776584.6656295189</v>
      </c>
      <c r="CE104" s="159">
        <f t="shared" si="329"/>
        <v>2055278.1644986137</v>
      </c>
      <c r="CF104" s="159">
        <f t="shared" si="330"/>
        <v>3470222.003601945</v>
      </c>
      <c r="CG104" s="159">
        <f t="shared" si="331"/>
        <v>2220941.33</v>
      </c>
      <c r="CH104" s="158">
        <f t="shared" si="332"/>
        <v>2380756.5409325194</v>
      </c>
      <c r="CI104" s="157">
        <f t="shared" si="333"/>
        <v>2138109.7472493071</v>
      </c>
      <c r="CK104" s="61">
        <f t="shared" si="334"/>
        <v>0.15687037283435168</v>
      </c>
      <c r="CL104" s="62">
        <f t="shared" si="335"/>
        <v>0.68844396030865629</v>
      </c>
      <c r="CM104" s="63">
        <f t="shared" si="336"/>
        <v>-0.36000021678879446</v>
      </c>
      <c r="CN104" s="61">
        <f t="shared" si="337"/>
        <v>0.2501184846223059</v>
      </c>
      <c r="CO104" s="29"/>
      <c r="CP104" s="61">
        <f t="shared" si="338"/>
        <v>7.4841260407617206E-4</v>
      </c>
      <c r="CQ104" s="62">
        <f t="shared" si="339"/>
        <v>8.8497242122988651E-4</v>
      </c>
      <c r="CR104" s="63">
        <f t="shared" si="340"/>
        <v>1.4410903976696233E-3</v>
      </c>
      <c r="CS104" s="61">
        <f t="shared" si="341"/>
        <v>9.1765583404415825E-4</v>
      </c>
      <c r="CU104" s="60">
        <f t="shared" si="346"/>
        <v>100</v>
      </c>
      <c r="CV104" s="132">
        <f t="shared" si="347"/>
        <v>115.68703728343517</v>
      </c>
      <c r="CW104" s="132">
        <f t="shared" si="348"/>
        <v>195.33107938721847</v>
      </c>
      <c r="CX104" s="131">
        <f t="shared" si="349"/>
        <v>125.01184846223059</v>
      </c>
    </row>
    <row r="105" spans="1:102">
      <c r="A105" s="29">
        <v>333</v>
      </c>
      <c r="B105" s="29" t="s">
        <v>5</v>
      </c>
      <c r="C105" s="55" t="s">
        <v>135</v>
      </c>
      <c r="D105" s="56">
        <v>0</v>
      </c>
      <c r="E105" s="57">
        <f>VLOOKUP(A105,AuxOPEXSaneparOriginal!$B$4:$F$177,3,0)</f>
        <v>0</v>
      </c>
      <c r="F105" s="156">
        <f>VLOOKUP(A105,AuxOPEXSaneparOriginal!$B$4:$F$177,4,0)</f>
        <v>0</v>
      </c>
      <c r="G105" s="57">
        <f>VLOOKUP(A105,AuxOPEXSaneparOriginal!$B$4:$K$177,8,0)</f>
        <v>0</v>
      </c>
      <c r="H105" s="156">
        <f>VLOOKUP(A105,AuxOPEXSaneparOriginal!$B$4:$K$177,9,0)</f>
        <v>0</v>
      </c>
      <c r="I105" s="57">
        <f>VLOOKUP(A105,AuxOPEXSaneparOriginal!$B$4:$N$177,13,0)</f>
        <v>0</v>
      </c>
      <c r="J105" s="57">
        <f>VLOOKUP(A105,AuxOPEXSaneparOriginal!$B$4:$Q$177,16,0)</f>
        <v>0</v>
      </c>
      <c r="K105" s="57">
        <f>VLOOKUP(A105,AuxOPEXSaneparOriginal!$B$4:$V$177,21,0)</f>
        <v>0</v>
      </c>
      <c r="L105" s="157">
        <f t="shared" si="286"/>
        <v>0</v>
      </c>
      <c r="M105" s="19">
        <f>VLOOKUP(A105,AuxOPEXSaneparOriginal!$B$4:$AB$177,27,0)</f>
        <v>0</v>
      </c>
      <c r="N105" s="156">
        <f>VLOOKUP(A105,AuxOPEXSaneparOriginal!$B$4:$AC$177,28,0)</f>
        <v>0</v>
      </c>
      <c r="O105" s="156">
        <f>VLOOKUP(A105,AuxOPEXSaneparOriginal!$B$4:$AD$177,29,0)</f>
        <v>0</v>
      </c>
      <c r="P105" s="156">
        <f>VLOOKUP(A105,AuxOPEXSaneparOriginal!$B$4:$AE$177,30,0)</f>
        <v>0</v>
      </c>
      <c r="Q105" s="146">
        <f>VLOOKUP(A105,AuxOPEXSaneparOriginal!$B$4:$AF$177,31,0)</f>
        <v>0</v>
      </c>
      <c r="R105" s="146">
        <f>VLOOKUP(A105,AuxOPEXSaneparOriginal!$B$4:$AG$177,32,0)</f>
        <v>0</v>
      </c>
      <c r="S105" s="146">
        <f>VLOOKUP(A105,AuxOPEXSaneparOriginal!$B$4:$AH$177,33,0)</f>
        <v>0</v>
      </c>
      <c r="T105" s="157">
        <f t="shared" si="287"/>
        <v>0</v>
      </c>
      <c r="U105" s="156">
        <f>VLOOKUP(A105,AuxOPEXSaneparOriginal!$B$4:$AI$177,34,0)</f>
        <v>0</v>
      </c>
      <c r="V105" s="156">
        <f>VLOOKUP(A105,AuxOPEXSaneparOriginal!$B$4:$AJ$177,35,0)</f>
        <v>0</v>
      </c>
      <c r="W105" s="156">
        <f>VLOOKUP(A105,AuxOPEXSaneparOriginal!$B$4:$AK$177,36,0)</f>
        <v>0</v>
      </c>
      <c r="X105" s="19">
        <f>+VLOOKUP(A105,AuxOPEXSaneparOriginal!$B$4:$AL$177,37,0)</f>
        <v>0</v>
      </c>
      <c r="Y105" s="146">
        <f>VLOOKUP(A105,AuxOPEXSaneparOriginal!$B$4:$AM$177,38,0)</f>
        <v>0</v>
      </c>
      <c r="Z105" s="146">
        <f>VLOOKUP(A105,AuxOPEXSaneparOriginal!$B$4:$AN$177,39,0)</f>
        <v>0</v>
      </c>
      <c r="AA105" s="146">
        <f>VLOOKUP(A105,AuxOPEXSaneparOriginal!$B$4:$AO$177,40,0)</f>
        <v>0</v>
      </c>
      <c r="AB105" s="157">
        <f t="shared" si="288"/>
        <v>0</v>
      </c>
      <c r="AC105" s="156">
        <f>VLOOKUP(A105,AuxOPEXSaneparOriginal!$B$4:$AP$177,41,0)</f>
        <v>0</v>
      </c>
      <c r="AD105" s="156">
        <f>+VLOOKUP(A105,AuxOPEXSaneparOriginal!$B$4:$AQ$177,42,0)</f>
        <v>0</v>
      </c>
      <c r="AE105" s="156">
        <f>VLOOKUP(A105,AuxOPEXSaneparOriginal!$B$4:$AR$177,43,0)</f>
        <v>0</v>
      </c>
      <c r="AF105" s="156">
        <f>+VLOOKUP(A105,AuxOPEXSaneparOriginal!$B$4:$AS$177,44,0)</f>
        <v>0</v>
      </c>
      <c r="AG105" s="146">
        <f>VLOOKUP(A105,AuxOPEXSaneparOriginal!$B$4:$AT$177,45,0)</f>
        <v>0</v>
      </c>
      <c r="AH105" s="146">
        <f>VLOOKUP(A105,AuxOPEXSaneparOriginal!$B$4:$AU$177,46,0)</f>
        <v>0</v>
      </c>
      <c r="AI105" s="146">
        <f>VLOOKUP(A105,AuxOPEXSaneparOriginal!$B$4:$AV$177,47,0)</f>
        <v>0</v>
      </c>
      <c r="AJ105" s="157">
        <f t="shared" si="289"/>
        <v>0</v>
      </c>
      <c r="AK105" s="157">
        <f t="shared" si="342"/>
        <v>0</v>
      </c>
      <c r="AL105" s="157">
        <f t="shared" si="343"/>
        <v>0</v>
      </c>
      <c r="AM105" s="144"/>
      <c r="AN105" s="167">
        <f t="shared" si="290"/>
        <v>0</v>
      </c>
      <c r="AO105" s="168">
        <f t="shared" si="291"/>
        <v>0</v>
      </c>
      <c r="AP105" s="57">
        <f t="shared" si="292"/>
        <v>0</v>
      </c>
      <c r="AQ105" s="57">
        <f t="shared" si="293"/>
        <v>0</v>
      </c>
      <c r="AR105" s="57">
        <f t="shared" si="294"/>
        <v>0</v>
      </c>
      <c r="AS105" s="57">
        <f t="shared" si="295"/>
        <v>0</v>
      </c>
      <c r="AT105" s="57">
        <f t="shared" si="296"/>
        <v>0</v>
      </c>
      <c r="AU105" s="157">
        <f t="shared" si="297"/>
        <v>0</v>
      </c>
      <c r="AV105" s="57">
        <f t="shared" si="298"/>
        <v>0</v>
      </c>
      <c r="AW105" s="57">
        <f t="shared" si="299"/>
        <v>0</v>
      </c>
      <c r="AX105" s="57">
        <f t="shared" si="300"/>
        <v>0</v>
      </c>
      <c r="AY105" s="57">
        <f t="shared" si="301"/>
        <v>0</v>
      </c>
      <c r="AZ105" s="57">
        <f t="shared" si="302"/>
        <v>0</v>
      </c>
      <c r="BA105" s="57">
        <f t="shared" si="303"/>
        <v>0</v>
      </c>
      <c r="BB105" s="57">
        <f t="shared" si="304"/>
        <v>0</v>
      </c>
      <c r="BC105" s="157">
        <f t="shared" si="305"/>
        <v>0</v>
      </c>
      <c r="BD105" s="57">
        <f t="shared" si="306"/>
        <v>0</v>
      </c>
      <c r="BE105" s="57">
        <f t="shared" si="307"/>
        <v>0</v>
      </c>
      <c r="BF105" s="57">
        <f t="shared" si="308"/>
        <v>0</v>
      </c>
      <c r="BG105" s="57">
        <f t="shared" si="309"/>
        <v>0</v>
      </c>
      <c r="BH105" s="57">
        <f t="shared" si="310"/>
        <v>0</v>
      </c>
      <c r="BI105" s="57">
        <f t="shared" si="311"/>
        <v>0</v>
      </c>
      <c r="BJ105" s="57">
        <f t="shared" si="312"/>
        <v>0</v>
      </c>
      <c r="BK105" s="157">
        <f t="shared" si="313"/>
        <v>0</v>
      </c>
      <c r="BL105" s="57">
        <f t="shared" si="314"/>
        <v>0</v>
      </c>
      <c r="BM105" s="57">
        <f t="shared" si="315"/>
        <v>0</v>
      </c>
      <c r="BN105" s="57">
        <f t="shared" si="316"/>
        <v>0</v>
      </c>
      <c r="BO105" s="57">
        <f t="shared" si="317"/>
        <v>0</v>
      </c>
      <c r="BP105" s="57">
        <f t="shared" si="318"/>
        <v>0</v>
      </c>
      <c r="BQ105" s="57">
        <f t="shared" si="319"/>
        <v>0</v>
      </c>
      <c r="BR105" s="57">
        <f t="shared" si="320"/>
        <v>0</v>
      </c>
      <c r="BS105" s="157">
        <f t="shared" si="321"/>
        <v>0</v>
      </c>
      <c r="BT105" s="157">
        <f t="shared" si="344"/>
        <v>0</v>
      </c>
      <c r="BU105" s="157">
        <f t="shared" si="345"/>
        <v>0</v>
      </c>
      <c r="BV105" s="144"/>
      <c r="BW105" s="158">
        <f t="shared" si="322"/>
        <v>0</v>
      </c>
      <c r="BX105" s="159">
        <f t="shared" si="323"/>
        <v>0</v>
      </c>
      <c r="BY105" s="159">
        <f t="shared" si="324"/>
        <v>0</v>
      </c>
      <c r="BZ105" s="159">
        <f t="shared" si="325"/>
        <v>0</v>
      </c>
      <c r="CA105" s="158">
        <f t="shared" si="326"/>
        <v>0</v>
      </c>
      <c r="CB105" s="157">
        <f t="shared" si="327"/>
        <v>0</v>
      </c>
      <c r="CC105" s="144"/>
      <c r="CD105" s="158">
        <f t="shared" si="328"/>
        <v>0</v>
      </c>
      <c r="CE105" s="159">
        <f t="shared" si="329"/>
        <v>0</v>
      </c>
      <c r="CF105" s="159">
        <f t="shared" si="330"/>
        <v>0</v>
      </c>
      <c r="CG105" s="159">
        <f t="shared" si="331"/>
        <v>0</v>
      </c>
      <c r="CH105" s="158">
        <f t="shared" si="332"/>
        <v>0</v>
      </c>
      <c r="CI105" s="157">
        <f t="shared" si="333"/>
        <v>0</v>
      </c>
      <c r="CK105" s="61">
        <f t="shared" si="334"/>
        <v>0</v>
      </c>
      <c r="CL105" s="62">
        <f t="shared" si="335"/>
        <v>0</v>
      </c>
      <c r="CM105" s="63">
        <f t="shared" si="336"/>
        <v>0</v>
      </c>
      <c r="CN105" s="61">
        <f t="shared" si="337"/>
        <v>0</v>
      </c>
      <c r="CO105" s="29"/>
      <c r="CP105" s="61">
        <f t="shared" si="338"/>
        <v>0</v>
      </c>
      <c r="CQ105" s="62">
        <f t="shared" si="339"/>
        <v>0</v>
      </c>
      <c r="CR105" s="63">
        <f t="shared" si="340"/>
        <v>0</v>
      </c>
      <c r="CS105" s="61">
        <f t="shared" si="341"/>
        <v>0</v>
      </c>
      <c r="CU105" s="60">
        <f t="shared" si="346"/>
        <v>0</v>
      </c>
      <c r="CV105" s="132">
        <f t="shared" si="347"/>
        <v>0</v>
      </c>
      <c r="CW105" s="132">
        <f t="shared" si="348"/>
        <v>0</v>
      </c>
      <c r="CX105" s="131">
        <f t="shared" si="349"/>
        <v>0</v>
      </c>
    </row>
    <row r="106" spans="1:102">
      <c r="B106" s="67" t="s">
        <v>143</v>
      </c>
      <c r="C106" s="75"/>
      <c r="D106" s="69"/>
      <c r="E106" s="70">
        <f>SUM(E76:E105)</f>
        <v>43346054.340000004</v>
      </c>
      <c r="F106" s="70">
        <f t="shared" ref="F106:J106" si="350">SUM(F76:F105)</f>
        <v>150491510.56999999</v>
      </c>
      <c r="G106" s="70">
        <f t="shared" si="350"/>
        <v>45127669.870000005</v>
      </c>
      <c r="H106" s="70">
        <f t="shared" si="350"/>
        <v>89755266.450000018</v>
      </c>
      <c r="I106" s="70">
        <f t="shared" si="350"/>
        <v>78292462.660000011</v>
      </c>
      <c r="J106" s="70">
        <f t="shared" si="350"/>
        <v>133605171.53</v>
      </c>
      <c r="K106" s="70">
        <f t="shared" ref="K106" si="351">SUM(K76:K105)</f>
        <v>0</v>
      </c>
      <c r="L106" s="70">
        <f t="shared" ref="L106" si="352">SUM(L76:L105)</f>
        <v>540618135.42000008</v>
      </c>
      <c r="M106" s="70">
        <f t="shared" ref="M106" si="353">SUM(M76:M105)</f>
        <v>46447910.010000043</v>
      </c>
      <c r="N106" s="70">
        <f t="shared" ref="N106" si="354">SUM(N76:N105)</f>
        <v>168635217.3600001</v>
      </c>
      <c r="O106" s="70">
        <f t="shared" ref="O106" si="355">SUM(O76:O105)</f>
        <v>44076438.899999976</v>
      </c>
      <c r="P106" s="70">
        <f t="shared" ref="P106" si="356">SUM(P76:P105)</f>
        <v>100617717.86000004</v>
      </c>
      <c r="Q106" s="70">
        <f t="shared" ref="Q106" si="357">SUM(Q76:Q105)</f>
        <v>95401318.429999918</v>
      </c>
      <c r="R106" s="70">
        <f t="shared" ref="R106" si="358">SUM(R76:R105)</f>
        <v>130127156.13999997</v>
      </c>
      <c r="S106" s="70">
        <f t="shared" ref="S106" si="359">SUM(S76:S105)</f>
        <v>0</v>
      </c>
      <c r="T106" s="70">
        <f t="shared" ref="T106" si="360">SUM(T76:T105)</f>
        <v>585305758.70000017</v>
      </c>
      <c r="U106" s="70">
        <f t="shared" ref="U106" si="361">SUM(U76:U105)</f>
        <v>48887515.770000018</v>
      </c>
      <c r="V106" s="70">
        <f t="shared" ref="V106" si="362">SUM(V76:V105)</f>
        <v>188014117.12999967</v>
      </c>
      <c r="W106" s="70">
        <f t="shared" ref="W106" si="363">SUM(W76:W105)</f>
        <v>48102553.809999965</v>
      </c>
      <c r="X106" s="70">
        <f t="shared" ref="X106" si="364">SUM(X76:X105)</f>
        <v>113190002.62000002</v>
      </c>
      <c r="Y106" s="70">
        <f t="shared" ref="Y106" si="365">SUM(Y76:Y105)</f>
        <v>104297275.89999993</v>
      </c>
      <c r="Z106" s="70">
        <f t="shared" ref="Z106" si="366">SUM(Z76:Z105)</f>
        <v>102407274.12000002</v>
      </c>
      <c r="AA106" s="70">
        <f t="shared" ref="AA106" si="367">SUM(AA76:AA105)</f>
        <v>0</v>
      </c>
      <c r="AB106" s="70">
        <f t="shared" ref="AB106" si="368">SUM(AB76:AB105)</f>
        <v>604898739.34999943</v>
      </c>
      <c r="AC106" s="70">
        <f t="shared" ref="AC106" si="369">SUM(AC76:AC105)</f>
        <v>56204134.020000018</v>
      </c>
      <c r="AD106" s="70">
        <f t="shared" ref="AD106" si="370">SUM(AD76:AD105)</f>
        <v>177936530.50000033</v>
      </c>
      <c r="AE106" s="70">
        <f t="shared" ref="AE106" si="371">SUM(AE76:AE105)</f>
        <v>48801162.209999993</v>
      </c>
      <c r="AF106" s="70">
        <f t="shared" ref="AF106" si="372">SUM(AF76:AF105)</f>
        <v>131699442.31</v>
      </c>
      <c r="AG106" s="70">
        <f t="shared" ref="AG106" si="373">SUM(AG76:AG105)</f>
        <v>111136338.88000013</v>
      </c>
      <c r="AH106" s="70">
        <f t="shared" ref="AH106" si="374">SUM(AH76:AH105)</f>
        <v>104225539.53999999</v>
      </c>
      <c r="AI106" s="70">
        <f t="shared" ref="AI106" si="375">SUM(AI76:AI105)</f>
        <v>0</v>
      </c>
      <c r="AJ106" s="70">
        <f t="shared" ref="AJ106" si="376">SUM(AJ76:AJ105)</f>
        <v>630003147.46000051</v>
      </c>
      <c r="AK106" s="161">
        <f t="shared" si="342"/>
        <v>590206445.23250008</v>
      </c>
      <c r="AL106" s="161">
        <f t="shared" si="343"/>
        <v>617450943.40499997</v>
      </c>
      <c r="AM106" s="144"/>
      <c r="AN106" s="162">
        <f>SUM(AN76:AN105)</f>
        <v>43346054.340000004</v>
      </c>
      <c r="AO106" s="162">
        <f t="shared" ref="AO106:BS106" si="377">SUM(AO76:AO105)</f>
        <v>150491510.56999999</v>
      </c>
      <c r="AP106" s="162">
        <f t="shared" si="377"/>
        <v>45127669.870000005</v>
      </c>
      <c r="AQ106" s="162">
        <f t="shared" si="377"/>
        <v>89755266.450000018</v>
      </c>
      <c r="AR106" s="162">
        <f t="shared" si="377"/>
        <v>78292462.660000011</v>
      </c>
      <c r="AS106" s="162">
        <f t="shared" si="377"/>
        <v>133605171.53</v>
      </c>
      <c r="AT106" s="162">
        <f t="shared" si="377"/>
        <v>0</v>
      </c>
      <c r="AU106" s="162">
        <f t="shared" si="377"/>
        <v>540618135.42000008</v>
      </c>
      <c r="AV106" s="162">
        <f t="shared" si="377"/>
        <v>46447910.010000043</v>
      </c>
      <c r="AW106" s="162">
        <f t="shared" si="377"/>
        <v>168635217.3600001</v>
      </c>
      <c r="AX106" s="162">
        <f t="shared" si="377"/>
        <v>44076438.899999976</v>
      </c>
      <c r="AY106" s="162">
        <f t="shared" si="377"/>
        <v>100617717.86000004</v>
      </c>
      <c r="AZ106" s="162">
        <f t="shared" si="377"/>
        <v>95401318.429999918</v>
      </c>
      <c r="BA106" s="162">
        <f t="shared" si="377"/>
        <v>130127156.13999997</v>
      </c>
      <c r="BB106" s="162">
        <f t="shared" si="377"/>
        <v>0</v>
      </c>
      <c r="BC106" s="162">
        <f t="shared" si="377"/>
        <v>585305758.70000017</v>
      </c>
      <c r="BD106" s="162">
        <f t="shared" si="377"/>
        <v>48887515.770000018</v>
      </c>
      <c r="BE106" s="162">
        <f t="shared" si="377"/>
        <v>188014117.12999967</v>
      </c>
      <c r="BF106" s="162">
        <f t="shared" si="377"/>
        <v>48102553.809999965</v>
      </c>
      <c r="BG106" s="162">
        <f t="shared" si="377"/>
        <v>113190002.62000002</v>
      </c>
      <c r="BH106" s="162">
        <f t="shared" si="377"/>
        <v>104297275.89999993</v>
      </c>
      <c r="BI106" s="162">
        <f t="shared" si="377"/>
        <v>102407274.12000002</v>
      </c>
      <c r="BJ106" s="162">
        <f t="shared" si="377"/>
        <v>0</v>
      </c>
      <c r="BK106" s="162">
        <f t="shared" si="377"/>
        <v>604898739.34999943</v>
      </c>
      <c r="BL106" s="162">
        <f t="shared" si="377"/>
        <v>56204134.020000018</v>
      </c>
      <c r="BM106" s="162">
        <f t="shared" si="377"/>
        <v>177936530.50000033</v>
      </c>
      <c r="BN106" s="162">
        <f t="shared" si="377"/>
        <v>48801162.209999993</v>
      </c>
      <c r="BO106" s="162">
        <f t="shared" si="377"/>
        <v>131699442.31</v>
      </c>
      <c r="BP106" s="162">
        <f t="shared" si="377"/>
        <v>111136338.88000013</v>
      </c>
      <c r="BQ106" s="162">
        <f t="shared" si="377"/>
        <v>104225539.53999999</v>
      </c>
      <c r="BR106" s="162">
        <f t="shared" si="377"/>
        <v>0</v>
      </c>
      <c r="BS106" s="162">
        <f t="shared" si="377"/>
        <v>630003147.46000051</v>
      </c>
      <c r="BT106" s="161">
        <f t="shared" si="344"/>
        <v>590206445.23250008</v>
      </c>
      <c r="BU106" s="161">
        <f t="shared" si="345"/>
        <v>617450943.40499997</v>
      </c>
      <c r="BV106" s="144"/>
      <c r="BW106" s="162">
        <f t="shared" ref="BW106:CB106" si="378">SUM(BW76:BW105)</f>
        <v>540618135.42000008</v>
      </c>
      <c r="BX106" s="162">
        <f t="shared" si="378"/>
        <v>585305758.70000017</v>
      </c>
      <c r="BY106" s="162">
        <f t="shared" si="378"/>
        <v>604898739.34999943</v>
      </c>
      <c r="BZ106" s="162">
        <f t="shared" si="378"/>
        <v>630003147.46000051</v>
      </c>
      <c r="CA106" s="162">
        <f t="shared" si="378"/>
        <v>590206445.23250008</v>
      </c>
      <c r="CB106" s="162">
        <f t="shared" si="378"/>
        <v>585049909.82000029</v>
      </c>
      <c r="CC106" s="144"/>
      <c r="CD106" s="162">
        <f>SUM(CD76:CD105)</f>
        <v>614135660.35768127</v>
      </c>
      <c r="CE106" s="162">
        <f t="shared" ref="CE106:CI106" si="379">SUM(CE76:CE105)</f>
        <v>639045197.22100973</v>
      </c>
      <c r="CF106" s="162">
        <f t="shared" si="379"/>
        <v>639494652.4597702</v>
      </c>
      <c r="CG106" s="162">
        <f t="shared" si="379"/>
        <v>630003147.46000051</v>
      </c>
      <c r="CH106" s="162">
        <f t="shared" si="379"/>
        <v>630669664.37461555</v>
      </c>
      <c r="CI106" s="162">
        <f t="shared" si="379"/>
        <v>622674120.76283133</v>
      </c>
      <c r="CK106" s="73">
        <f t="shared" ref="CK106:CM108" si="380">IFERROR(+CE106/CD106-1,0)</f>
        <v>4.0560316671435004E-2</v>
      </c>
      <c r="CL106" s="74">
        <f t="shared" si="380"/>
        <v>7.0332308374276842E-4</v>
      </c>
      <c r="CM106" s="74">
        <f t="shared" si="380"/>
        <v>-1.4842196042236355E-2</v>
      </c>
      <c r="CN106" s="74">
        <f t="shared" ref="CN106:CN116" si="381">IFERROR(+CG106/CD106-1,0)</f>
        <v>2.5837104285847623E-2</v>
      </c>
      <c r="CO106" s="29"/>
      <c r="CP106" s="73">
        <f>SUM(CP76:CP105)</f>
        <v>0.25871374312547424</v>
      </c>
      <c r="CQ106" s="73">
        <f t="shared" ref="CQ106:CS106" si="382">SUM(CQ76:CQ105)</f>
        <v>0.2751634232429897</v>
      </c>
      <c r="CR106" s="73">
        <f t="shared" si="382"/>
        <v>0.26556502784671893</v>
      </c>
      <c r="CS106" s="73">
        <f t="shared" si="382"/>
        <v>0.26030676989240936</v>
      </c>
      <c r="CU106" s="133">
        <f t="shared" si="346"/>
        <v>100</v>
      </c>
      <c r="CV106" s="134">
        <f t="shared" si="347"/>
        <v>104.0560316671435</v>
      </c>
      <c r="CW106" s="134">
        <f t="shared" si="348"/>
        <v>104.12921667621768</v>
      </c>
      <c r="CX106" s="136">
        <f t="shared" si="349"/>
        <v>102.58371042858477</v>
      </c>
    </row>
    <row r="107" spans="1:102">
      <c r="A107" s="29">
        <v>310</v>
      </c>
      <c r="B107" s="29" t="s">
        <v>18</v>
      </c>
      <c r="C107" s="55" t="s">
        <v>144</v>
      </c>
      <c r="D107" s="56">
        <v>0</v>
      </c>
      <c r="E107" s="57">
        <f>VLOOKUP(A107,AuxOPEXSaneparOriginal!$B$4:$F$177,3,0)</f>
        <v>242549323.75000015</v>
      </c>
      <c r="F107" s="156">
        <f>VLOOKUP(A107,AuxOPEXSaneparOriginal!$B$4:$F$177,4,0)</f>
        <v>91557240.700000092</v>
      </c>
      <c r="G107" s="57">
        <f>VLOOKUP(A107,AuxOPEXSaneparOriginal!$B$4:$K$177,8,0)</f>
        <v>2305067.33</v>
      </c>
      <c r="H107" s="156">
        <f>VLOOKUP(A107,AuxOPEXSaneparOriginal!$B$4:$K$177,9,0)</f>
        <v>34151964.239999987</v>
      </c>
      <c r="I107" s="57">
        <f>VLOOKUP(A107,AuxOPEXSaneparOriginal!$B$4:$N$177,13,0)</f>
        <v>867179.16999999969</v>
      </c>
      <c r="J107" s="57">
        <f>VLOOKUP(A107,AuxOPEXSaneparOriginal!$B$4:$Q$177,16,0)</f>
        <v>7366041.7200000007</v>
      </c>
      <c r="K107" s="57">
        <f>VLOOKUP(A107,AuxOPEXSaneparOriginal!$B$4:$V$177,21,0)</f>
        <v>0</v>
      </c>
      <c r="L107" s="157">
        <f>SUM(E107:K107)</f>
        <v>378796816.91000026</v>
      </c>
      <c r="M107" s="19">
        <f>VLOOKUP(A107,AuxOPEXSaneparOriginal!$B$4:$AB$177,27,0)</f>
        <v>271236784.77000016</v>
      </c>
      <c r="N107" s="156">
        <f>VLOOKUP(A107,AuxOPEXSaneparOriginal!$B$4:$AC$177,28,0)</f>
        <v>104133357.92000005</v>
      </c>
      <c r="O107" s="156">
        <f>VLOOKUP(A107,AuxOPEXSaneparOriginal!$B$4:$AD$177,29,0)</f>
        <v>2817761.2600000002</v>
      </c>
      <c r="P107" s="156">
        <f>VLOOKUP(A107,AuxOPEXSaneparOriginal!$B$4:$AE$177,30,0)</f>
        <v>39461534.25999999</v>
      </c>
      <c r="Q107" s="146">
        <f>VLOOKUP(A107,AuxOPEXSaneparOriginal!$B$4:$AF$177,31,0)</f>
        <v>985134.11999999988</v>
      </c>
      <c r="R107" s="146">
        <f>VLOOKUP(A107,AuxOPEXSaneparOriginal!$B$4:$AG$177,32,0)</f>
        <v>6274294.6900000004</v>
      </c>
      <c r="S107" s="146">
        <f>VLOOKUP(A107,AuxOPEXSaneparOriginal!$B$4:$AH$177,33,0)</f>
        <v>0</v>
      </c>
      <c r="T107" s="157">
        <f>SUM(M107:S107)</f>
        <v>424908867.02000016</v>
      </c>
      <c r="U107" s="156">
        <f>VLOOKUP(A107,AuxOPEXSaneparOriginal!$B$4:$AI$177,34,0)</f>
        <v>301899204.08999991</v>
      </c>
      <c r="V107" s="156">
        <f>VLOOKUP(A107,AuxOPEXSaneparOriginal!$B$4:$AJ$177,35,0)</f>
        <v>114107987.6799998</v>
      </c>
      <c r="W107" s="156">
        <f>VLOOKUP(A107,AuxOPEXSaneparOriginal!$B$4:$AK$177,36,0)</f>
        <v>3297758.4499999988</v>
      </c>
      <c r="X107" s="19">
        <f>+VLOOKUP(A107,AuxOPEXSaneparOriginal!$B$4:$AL$177,37,0)</f>
        <v>47480491.960000008</v>
      </c>
      <c r="Y107" s="146">
        <f>VLOOKUP(A107,AuxOPEXSaneparOriginal!$B$4:$AM$177,38,0)</f>
        <v>1121822.6499999997</v>
      </c>
      <c r="Z107" s="146">
        <f>VLOOKUP(A107,AuxOPEXSaneparOriginal!$B$4:$AN$177,39,0)</f>
        <v>5786829.1899999995</v>
      </c>
      <c r="AA107" s="146">
        <f>VLOOKUP(A107,AuxOPEXSaneparOriginal!$B$4:$AO$177,40,0)</f>
        <v>0</v>
      </c>
      <c r="AB107" s="157">
        <f>SUM(U107:AA107)</f>
        <v>473694094.01999968</v>
      </c>
      <c r="AC107" s="156">
        <f>VLOOKUP(A107,AuxOPEXSaneparOriginal!$B$4:$AP$177,41,0)</f>
        <v>284941913.71999997</v>
      </c>
      <c r="AD107" s="156">
        <f>+VLOOKUP(A107,AuxOPEXSaneparOriginal!$B$4:$AQ$177,42,0)</f>
        <v>108368957.25000007</v>
      </c>
      <c r="AE107" s="156">
        <f>VLOOKUP(A107,AuxOPEXSaneparOriginal!$B$4:$AR$177,43,0)</f>
        <v>3076099.1999999997</v>
      </c>
      <c r="AF107" s="156">
        <f>+VLOOKUP(A107,AuxOPEXSaneparOriginal!$B$4:$AS$177,44,0)</f>
        <v>45767816.859999955</v>
      </c>
      <c r="AG107" s="146">
        <f>VLOOKUP(A107,AuxOPEXSaneparOriginal!$B$4:$AT$177,45,0)</f>
        <v>1080999.7899999996</v>
      </c>
      <c r="AH107" s="146">
        <f>VLOOKUP(A107,AuxOPEXSaneparOriginal!$B$4:$AU$177,46,0)</f>
        <v>5230494.8599999994</v>
      </c>
      <c r="AI107" s="146">
        <f>VLOOKUP(A107,AuxOPEXSaneparOriginal!$B$4:$AV$177,47,0)</f>
        <v>0</v>
      </c>
      <c r="AJ107" s="157">
        <f>SUM(AC107:AI107)</f>
        <v>448466281.68000001</v>
      </c>
      <c r="AK107" s="157">
        <f t="shared" si="342"/>
        <v>431466514.90750003</v>
      </c>
      <c r="AL107" s="157">
        <f t="shared" si="343"/>
        <v>461080187.84999985</v>
      </c>
      <c r="AM107" s="144"/>
      <c r="AN107" s="167">
        <f t="shared" si="290"/>
        <v>242549323.75000015</v>
      </c>
      <c r="AO107" s="168">
        <f t="shared" si="291"/>
        <v>91557240.700000092</v>
      </c>
      <c r="AP107" s="57">
        <f t="shared" si="292"/>
        <v>2305067.33</v>
      </c>
      <c r="AQ107" s="57">
        <f t="shared" si="293"/>
        <v>34151964.239999987</v>
      </c>
      <c r="AR107" s="57">
        <f t="shared" si="294"/>
        <v>867179.16999999969</v>
      </c>
      <c r="AS107" s="57">
        <f t="shared" si="295"/>
        <v>7366041.7200000007</v>
      </c>
      <c r="AT107" s="57">
        <f t="shared" si="296"/>
        <v>0</v>
      </c>
      <c r="AU107" s="157">
        <f>SUM(AN107:AT107)</f>
        <v>378796816.91000026</v>
      </c>
      <c r="AV107" s="57">
        <f t="shared" ref="AV107" si="383">M107*(1-$D107)</f>
        <v>271236784.77000016</v>
      </c>
      <c r="AW107" s="57">
        <f t="shared" ref="AW107" si="384">N107*(1-$D107)</f>
        <v>104133357.92000005</v>
      </c>
      <c r="AX107" s="57">
        <f t="shared" ref="AX107" si="385">O107*(1-$D107)</f>
        <v>2817761.2600000002</v>
      </c>
      <c r="AY107" s="57">
        <f t="shared" ref="AY107" si="386">P107*(1-$D107)</f>
        <v>39461534.25999999</v>
      </c>
      <c r="AZ107" s="57">
        <f t="shared" ref="AZ107" si="387">Q107*(1-$D107)</f>
        <v>985134.11999999988</v>
      </c>
      <c r="BA107" s="57">
        <f t="shared" ref="BA107" si="388">R107*(1-$D107)</f>
        <v>6274294.6900000004</v>
      </c>
      <c r="BB107" s="57">
        <f t="shared" ref="BB107" si="389">S107*(1-$D107)</f>
        <v>0</v>
      </c>
      <c r="BC107" s="157">
        <f>SUM(AV107:BB107)</f>
        <v>424908867.02000016</v>
      </c>
      <c r="BD107" s="57">
        <f t="shared" ref="BD107" si="390">U107*(1-$D107)</f>
        <v>301899204.08999991</v>
      </c>
      <c r="BE107" s="57">
        <f t="shared" ref="BE107" si="391">V107*(1-$D107)</f>
        <v>114107987.6799998</v>
      </c>
      <c r="BF107" s="57">
        <f t="shared" ref="BF107" si="392">W107*(1-$D107)</f>
        <v>3297758.4499999988</v>
      </c>
      <c r="BG107" s="57">
        <f t="shared" ref="BG107" si="393">X107*(1-$D107)</f>
        <v>47480491.960000008</v>
      </c>
      <c r="BH107" s="57">
        <f t="shared" ref="BH107" si="394">Y107*(1-$D107)</f>
        <v>1121822.6499999997</v>
      </c>
      <c r="BI107" s="57">
        <f t="shared" ref="BI107" si="395">Z107*(1-$D107)</f>
        <v>5786829.1899999995</v>
      </c>
      <c r="BJ107" s="57">
        <f t="shared" ref="BJ107" si="396">AA107*(1-$D107)</f>
        <v>0</v>
      </c>
      <c r="BK107" s="157">
        <f>SUM(BD107:BJ107)</f>
        <v>473694094.01999968</v>
      </c>
      <c r="BL107" s="57">
        <f t="shared" ref="BL107" si="397">AC107*(1-$D107)</f>
        <v>284941913.71999997</v>
      </c>
      <c r="BM107" s="57">
        <f t="shared" ref="BM107" si="398">AD107*(1-$D107)</f>
        <v>108368957.25000007</v>
      </c>
      <c r="BN107" s="57">
        <f t="shared" ref="BN107" si="399">AE107*(1-$D107)</f>
        <v>3076099.1999999997</v>
      </c>
      <c r="BO107" s="57">
        <f t="shared" ref="BO107" si="400">AF107*(1-$D107)</f>
        <v>45767816.859999955</v>
      </c>
      <c r="BP107" s="57">
        <f t="shared" ref="BP107" si="401">AG107*(1-$D107)</f>
        <v>1080999.7899999996</v>
      </c>
      <c r="BQ107" s="57">
        <f t="shared" ref="BQ107" si="402">AH107*(1-$D107)</f>
        <v>5230494.8599999994</v>
      </c>
      <c r="BR107" s="57">
        <f t="shared" ref="BR107" si="403">AI107*(1-$D107)</f>
        <v>0</v>
      </c>
      <c r="BS107" s="157">
        <f>SUM(BL107:BR107)</f>
        <v>448466281.68000001</v>
      </c>
      <c r="BT107" s="157">
        <f t="shared" si="344"/>
        <v>431466514.90750003</v>
      </c>
      <c r="BU107" s="157">
        <f t="shared" si="345"/>
        <v>461080187.84999985</v>
      </c>
      <c r="BV107" s="144"/>
      <c r="BW107" s="158">
        <f>L107*(1-$D107)</f>
        <v>378796816.91000026</v>
      </c>
      <c r="BX107" s="159">
        <f>T107*(1-$D107)</f>
        <v>424908867.02000016</v>
      </c>
      <c r="BY107" s="159">
        <f>AB107*(1-$D107)</f>
        <v>473694094.01999968</v>
      </c>
      <c r="BZ107" s="159">
        <f>AJ107*(1-$D107)</f>
        <v>448466281.68000001</v>
      </c>
      <c r="CA107" s="158">
        <f>AVERAGE(BW107:BZ107)</f>
        <v>431466514.90750003</v>
      </c>
      <c r="CB107" s="157">
        <f>MEDIAN(BW107:BZ107)</f>
        <v>436687574.35000008</v>
      </c>
      <c r="CC107" s="144"/>
      <c r="CD107" s="158">
        <f>+BW107*F$16</f>
        <v>430308600.56827569</v>
      </c>
      <c r="CE107" s="159">
        <f>+BX107*G$16</f>
        <v>463921577.2092346</v>
      </c>
      <c r="CF107" s="159">
        <f>+BY107*H$16</f>
        <v>500786032.96987611</v>
      </c>
      <c r="CG107" s="159">
        <f t="shared" si="331"/>
        <v>448466281.68000001</v>
      </c>
      <c r="CH107" s="158">
        <f>AVERAGE(CD107:CG107)</f>
        <v>460870623.10684663</v>
      </c>
      <c r="CI107" s="157">
        <f>MEDIAN(CD107:CG107)</f>
        <v>456193929.44461727</v>
      </c>
      <c r="CK107" s="61">
        <f t="shared" si="380"/>
        <v>7.8113652844885806E-2</v>
      </c>
      <c r="CL107" s="62">
        <f t="shared" si="380"/>
        <v>7.9462688462138775E-2</v>
      </c>
      <c r="CM107" s="63">
        <f t="shared" si="380"/>
        <v>-0.10447526058104606</v>
      </c>
      <c r="CN107" s="61">
        <f t="shared" si="381"/>
        <v>4.2196881697797561E-2</v>
      </c>
      <c r="CO107" s="29"/>
      <c r="CP107" s="61">
        <f>+CD107/CD$177</f>
        <v>0.18127387145580326</v>
      </c>
      <c r="CQ107" s="62">
        <f>+CE107/CE$177</f>
        <v>0.19975777903707739</v>
      </c>
      <c r="CR107" s="63">
        <f>+CF107/CF$177</f>
        <v>0.20796304750845343</v>
      </c>
      <c r="CS107" s="61">
        <f>+CG107/CG$177</f>
        <v>0.18529877137985576</v>
      </c>
      <c r="CU107" s="60">
        <f t="shared" si="346"/>
        <v>100</v>
      </c>
      <c r="CV107" s="132">
        <f t="shared" si="347"/>
        <v>107.81136528448857</v>
      </c>
      <c r="CW107" s="132">
        <f t="shared" si="348"/>
        <v>116.37834621676775</v>
      </c>
      <c r="CX107" s="131">
        <f t="shared" si="349"/>
        <v>104.21968816977976</v>
      </c>
    </row>
    <row r="108" spans="1:102">
      <c r="B108" s="67" t="s">
        <v>145</v>
      </c>
      <c r="C108" s="75"/>
      <c r="D108" s="69"/>
      <c r="E108" s="70">
        <f t="shared" ref="E108:H108" si="404">SUM(E107:E107)</f>
        <v>242549323.75000015</v>
      </c>
      <c r="F108" s="70">
        <f t="shared" si="404"/>
        <v>91557240.700000092</v>
      </c>
      <c r="G108" s="70">
        <f>SUM(G107:G107)</f>
        <v>2305067.33</v>
      </c>
      <c r="H108" s="70">
        <f t="shared" si="404"/>
        <v>34151964.239999987</v>
      </c>
      <c r="I108" s="160">
        <f>SUM(I107:I107)</f>
        <v>867179.16999999969</v>
      </c>
      <c r="J108" s="160">
        <f>SUM(J107:J107)</f>
        <v>7366041.7200000007</v>
      </c>
      <c r="K108" s="160">
        <f>SUM(K107:K107)</f>
        <v>0</v>
      </c>
      <c r="L108" s="160">
        <f>SUM(L107:L107)</f>
        <v>378796816.91000026</v>
      </c>
      <c r="M108" s="160">
        <f t="shared" ref="M108:O108" si="405">SUM(M107:M107)</f>
        <v>271236784.77000016</v>
      </c>
      <c r="N108" s="160">
        <f t="shared" si="405"/>
        <v>104133357.92000005</v>
      </c>
      <c r="O108" s="160">
        <f t="shared" si="405"/>
        <v>2817761.2600000002</v>
      </c>
      <c r="P108" s="160">
        <f t="shared" ref="P108:U108" si="406">SUM(P107:P107)</f>
        <v>39461534.25999999</v>
      </c>
      <c r="Q108" s="160">
        <f t="shared" si="406"/>
        <v>985134.11999999988</v>
      </c>
      <c r="R108" s="160">
        <f t="shared" si="406"/>
        <v>6274294.6900000004</v>
      </c>
      <c r="S108" s="160">
        <f t="shared" si="406"/>
        <v>0</v>
      </c>
      <c r="T108" s="160">
        <f t="shared" si="406"/>
        <v>424908867.02000016</v>
      </c>
      <c r="U108" s="160">
        <f t="shared" si="406"/>
        <v>301899204.08999991</v>
      </c>
      <c r="V108" s="160">
        <f t="shared" ref="V108:W108" si="407">SUM(V107:V107)</f>
        <v>114107987.6799998</v>
      </c>
      <c r="W108" s="160">
        <f t="shared" si="407"/>
        <v>3297758.4499999988</v>
      </c>
      <c r="X108" s="160">
        <f t="shared" ref="X108:AC108" si="408">SUM(X107:X107)</f>
        <v>47480491.960000008</v>
      </c>
      <c r="Y108" s="160">
        <f t="shared" si="408"/>
        <v>1121822.6499999997</v>
      </c>
      <c r="Z108" s="160">
        <f t="shared" si="408"/>
        <v>5786829.1899999995</v>
      </c>
      <c r="AA108" s="160">
        <f t="shared" si="408"/>
        <v>0</v>
      </c>
      <c r="AB108" s="160">
        <f t="shared" si="408"/>
        <v>473694094.01999968</v>
      </c>
      <c r="AC108" s="160">
        <f t="shared" si="408"/>
        <v>284941913.71999997</v>
      </c>
      <c r="AD108" s="160">
        <f t="shared" ref="AD108:AE108" si="409">SUM(AD107:AD107)</f>
        <v>108368957.25000007</v>
      </c>
      <c r="AE108" s="160">
        <f t="shared" si="409"/>
        <v>3076099.1999999997</v>
      </c>
      <c r="AF108" s="160">
        <f>SUM(AF107:AF107)</f>
        <v>45767816.859999955</v>
      </c>
      <c r="AG108" s="160">
        <f>SUM(AG107:AG107)</f>
        <v>1080999.7899999996</v>
      </c>
      <c r="AH108" s="160">
        <f>SUM(AH107:AH107)</f>
        <v>5230494.8599999994</v>
      </c>
      <c r="AI108" s="160">
        <f>SUM(AI107:AI107)</f>
        <v>0</v>
      </c>
      <c r="AJ108" s="160">
        <f>SUM(AJ107:AJ107)</f>
        <v>448466281.68000001</v>
      </c>
      <c r="AK108" s="161">
        <f t="shared" si="342"/>
        <v>431466514.90750003</v>
      </c>
      <c r="AL108" s="161">
        <f t="shared" si="343"/>
        <v>461080187.84999985</v>
      </c>
      <c r="AM108" s="144"/>
      <c r="AN108" s="162">
        <f>SUM(AN107:AN107)</f>
        <v>242549323.75000015</v>
      </c>
      <c r="AO108" s="162">
        <f t="shared" ref="AO108:BS108" si="410">SUM(AO107:AO107)</f>
        <v>91557240.700000092</v>
      </c>
      <c r="AP108" s="162">
        <f t="shared" si="410"/>
        <v>2305067.33</v>
      </c>
      <c r="AQ108" s="162">
        <f t="shared" si="410"/>
        <v>34151964.239999987</v>
      </c>
      <c r="AR108" s="162">
        <f t="shared" si="410"/>
        <v>867179.16999999969</v>
      </c>
      <c r="AS108" s="162">
        <f t="shared" si="410"/>
        <v>7366041.7200000007</v>
      </c>
      <c r="AT108" s="162">
        <f t="shared" si="410"/>
        <v>0</v>
      </c>
      <c r="AU108" s="162">
        <f t="shared" si="410"/>
        <v>378796816.91000026</v>
      </c>
      <c r="AV108" s="162">
        <f t="shared" si="410"/>
        <v>271236784.77000016</v>
      </c>
      <c r="AW108" s="162">
        <f t="shared" si="410"/>
        <v>104133357.92000005</v>
      </c>
      <c r="AX108" s="162">
        <f t="shared" si="410"/>
        <v>2817761.2600000002</v>
      </c>
      <c r="AY108" s="162">
        <f t="shared" si="410"/>
        <v>39461534.25999999</v>
      </c>
      <c r="AZ108" s="162">
        <f t="shared" si="410"/>
        <v>985134.11999999988</v>
      </c>
      <c r="BA108" s="162">
        <f t="shared" si="410"/>
        <v>6274294.6900000004</v>
      </c>
      <c r="BB108" s="162">
        <f t="shared" si="410"/>
        <v>0</v>
      </c>
      <c r="BC108" s="162">
        <f t="shared" si="410"/>
        <v>424908867.02000016</v>
      </c>
      <c r="BD108" s="162">
        <f t="shared" si="410"/>
        <v>301899204.08999991</v>
      </c>
      <c r="BE108" s="162">
        <f t="shared" si="410"/>
        <v>114107987.6799998</v>
      </c>
      <c r="BF108" s="162">
        <f t="shared" si="410"/>
        <v>3297758.4499999988</v>
      </c>
      <c r="BG108" s="162">
        <f t="shared" si="410"/>
        <v>47480491.960000008</v>
      </c>
      <c r="BH108" s="162">
        <f t="shared" si="410"/>
        <v>1121822.6499999997</v>
      </c>
      <c r="BI108" s="162">
        <f t="shared" si="410"/>
        <v>5786829.1899999995</v>
      </c>
      <c r="BJ108" s="162">
        <f t="shared" si="410"/>
        <v>0</v>
      </c>
      <c r="BK108" s="162">
        <f t="shared" si="410"/>
        <v>473694094.01999968</v>
      </c>
      <c r="BL108" s="162">
        <f t="shared" si="410"/>
        <v>284941913.71999997</v>
      </c>
      <c r="BM108" s="162">
        <f t="shared" si="410"/>
        <v>108368957.25000007</v>
      </c>
      <c r="BN108" s="162">
        <f t="shared" si="410"/>
        <v>3076099.1999999997</v>
      </c>
      <c r="BO108" s="162">
        <f t="shared" si="410"/>
        <v>45767816.859999955</v>
      </c>
      <c r="BP108" s="162">
        <f t="shared" si="410"/>
        <v>1080999.7899999996</v>
      </c>
      <c r="BQ108" s="162">
        <f t="shared" si="410"/>
        <v>5230494.8599999994</v>
      </c>
      <c r="BR108" s="162">
        <f t="shared" si="410"/>
        <v>0</v>
      </c>
      <c r="BS108" s="162">
        <f t="shared" si="410"/>
        <v>448466281.68000001</v>
      </c>
      <c r="BT108" s="161">
        <f t="shared" si="344"/>
        <v>431466514.90750003</v>
      </c>
      <c r="BU108" s="161">
        <f t="shared" si="345"/>
        <v>461080187.84999985</v>
      </c>
      <c r="BV108" s="144"/>
      <c r="BW108" s="162">
        <f>SUM(BW107:BW107)</f>
        <v>378796816.91000026</v>
      </c>
      <c r="BX108" s="163">
        <f>SUM(BX107:BX107)</f>
        <v>424908867.02000016</v>
      </c>
      <c r="BY108" s="163">
        <f>SUM(BY107:BY107)</f>
        <v>473694094.01999968</v>
      </c>
      <c r="BZ108" s="163">
        <f>SUM(BZ107:BZ107)</f>
        <v>448466281.68000001</v>
      </c>
      <c r="CA108" s="162">
        <f>SUM(CA107)</f>
        <v>431466514.90750003</v>
      </c>
      <c r="CB108" s="164">
        <f>SUM(CB107)</f>
        <v>436687574.35000008</v>
      </c>
      <c r="CC108" s="144"/>
      <c r="CD108" s="162">
        <f>SUM(CD107)</f>
        <v>430308600.56827569</v>
      </c>
      <c r="CE108" s="163">
        <f t="shared" ref="CE108:CI108" si="411">SUM(CE107)</f>
        <v>463921577.2092346</v>
      </c>
      <c r="CF108" s="163">
        <f t="shared" si="411"/>
        <v>500786032.96987611</v>
      </c>
      <c r="CG108" s="163">
        <f t="shared" si="411"/>
        <v>448466281.68000001</v>
      </c>
      <c r="CH108" s="162">
        <f t="shared" si="411"/>
        <v>460870623.10684663</v>
      </c>
      <c r="CI108" s="164">
        <f t="shared" si="411"/>
        <v>456193929.44461727</v>
      </c>
      <c r="CK108" s="73">
        <f t="shared" si="380"/>
        <v>7.8113652844885806E-2</v>
      </c>
      <c r="CL108" s="74">
        <f t="shared" si="380"/>
        <v>7.9462688462138775E-2</v>
      </c>
      <c r="CM108" s="74">
        <f t="shared" si="380"/>
        <v>-0.10447526058104606</v>
      </c>
      <c r="CN108" s="74">
        <f t="shared" si="381"/>
        <v>4.2196881697797561E-2</v>
      </c>
      <c r="CO108" s="76"/>
      <c r="CP108" s="73">
        <f>SUM(CP107)</f>
        <v>0.18127387145580326</v>
      </c>
      <c r="CQ108" s="74">
        <f t="shared" ref="CQ108:CS108" si="412">SUM(CQ107)</f>
        <v>0.19975777903707739</v>
      </c>
      <c r="CR108" s="74">
        <f t="shared" si="412"/>
        <v>0.20796304750845343</v>
      </c>
      <c r="CS108" s="74">
        <f t="shared" si="412"/>
        <v>0.18529877137985576</v>
      </c>
      <c r="CU108" s="133">
        <f t="shared" si="346"/>
        <v>100</v>
      </c>
      <c r="CV108" s="134">
        <f t="shared" si="347"/>
        <v>107.81136528448857</v>
      </c>
      <c r="CW108" s="134">
        <f t="shared" si="348"/>
        <v>116.37834621676775</v>
      </c>
      <c r="CX108" s="136">
        <f t="shared" si="349"/>
        <v>104.21968816977976</v>
      </c>
    </row>
    <row r="109" spans="1:102">
      <c r="A109" s="252">
        <v>307</v>
      </c>
      <c r="B109" s="29" t="s">
        <v>6</v>
      </c>
      <c r="C109" s="253" t="s">
        <v>136</v>
      </c>
      <c r="D109" s="56">
        <v>0</v>
      </c>
      <c r="E109" s="57">
        <f>VLOOKUP(A109,AuxOPEXSaneparOriginal!$B$4:$F$177,3,0)</f>
        <v>0</v>
      </c>
      <c r="F109" s="156">
        <f>VLOOKUP(A109,AuxOPEXSaneparOriginal!$B$4:$F$177,4,0)</f>
        <v>0</v>
      </c>
      <c r="G109" s="57">
        <f>VLOOKUP(A109,AuxOPEXSaneparOriginal!$B$4:$K$177,8,0)</f>
        <v>0</v>
      </c>
      <c r="H109" s="156">
        <f>VLOOKUP(A109,AuxOPEXSaneparOriginal!$B$4:$K$177,9,0)</f>
        <v>0</v>
      </c>
      <c r="I109" s="57">
        <f>VLOOKUP(A109,AuxOPEXSaneparOriginal!$B$4:$N$177,13,0)</f>
        <v>0</v>
      </c>
      <c r="J109" s="57">
        <f>VLOOKUP(A109,AuxOPEXSaneparOriginal!$B$4:$Q$177,16,0)</f>
        <v>19868771.68</v>
      </c>
      <c r="K109" s="57">
        <f>VLOOKUP(A109,AuxOPEXSaneparOriginal!$B$4:$V$177,21,0)</f>
        <v>0</v>
      </c>
      <c r="L109" s="157">
        <f t="shared" ref="L109:L116" si="413">SUM(E109:K109)</f>
        <v>19868771.68</v>
      </c>
      <c r="M109" s="19">
        <f>VLOOKUP(A109,AuxOPEXSaneparOriginal!$B$4:$AB$177,27,0)</f>
        <v>0</v>
      </c>
      <c r="N109" s="156">
        <f>VLOOKUP(A109,AuxOPEXSaneparOriginal!$B$4:$AC$177,28,0)</f>
        <v>0</v>
      </c>
      <c r="O109" s="156">
        <f>VLOOKUP(A109,AuxOPEXSaneparOriginal!$B$4:$AD$177,29,0)</f>
        <v>0</v>
      </c>
      <c r="P109" s="156">
        <f>VLOOKUP(A109,AuxOPEXSaneparOriginal!$B$4:$AE$177,30,0)</f>
        <v>0</v>
      </c>
      <c r="Q109" s="146">
        <f>VLOOKUP(A109,AuxOPEXSaneparOriginal!$B$4:$AF$177,31,0)</f>
        <v>0</v>
      </c>
      <c r="R109" s="146">
        <f>VLOOKUP(A109,AuxOPEXSaneparOriginal!$B$4:$AG$177,32,0)</f>
        <v>16292050.6</v>
      </c>
      <c r="S109" s="146">
        <f>VLOOKUP(A109,AuxOPEXSaneparOriginal!$B$4:$AH$177,33,0)</f>
        <v>0</v>
      </c>
      <c r="T109" s="157">
        <f t="shared" ref="T109:T116" si="414">SUM(M109:S109)</f>
        <v>16292050.6</v>
      </c>
      <c r="U109" s="156">
        <f>VLOOKUP(A109,AuxOPEXSaneparOriginal!$B$4:$AI$177,34,0)</f>
        <v>0</v>
      </c>
      <c r="V109" s="156">
        <f>VLOOKUP(A109,AuxOPEXSaneparOriginal!$B$4:$AJ$177,35,0)</f>
        <v>0</v>
      </c>
      <c r="W109" s="156">
        <f>VLOOKUP(A109,AuxOPEXSaneparOriginal!$B$4:$AK$177,36,0)</f>
        <v>0</v>
      </c>
      <c r="X109" s="19">
        <f>+VLOOKUP(A109,AuxOPEXSaneparOriginal!$B$4:$AL$177,37,0)</f>
        <v>0</v>
      </c>
      <c r="Y109" s="146">
        <f>VLOOKUP(A109,AuxOPEXSaneparOriginal!$B$4:$AM$177,38,0)</f>
        <v>0</v>
      </c>
      <c r="Z109" s="146">
        <f>VLOOKUP(A109,AuxOPEXSaneparOriginal!$B$4:$AN$177,39,0)</f>
        <v>7840425.1799999997</v>
      </c>
      <c r="AA109" s="146">
        <f>VLOOKUP(A109,AuxOPEXSaneparOriginal!$B$4:$AO$177,40,0)</f>
        <v>0</v>
      </c>
      <c r="AB109" s="157">
        <f t="shared" ref="AB109:AB116" si="415">SUM(U109:AA109)</f>
        <v>7840425.1799999997</v>
      </c>
      <c r="AC109" s="156">
        <f>VLOOKUP(A109,AuxOPEXSaneparOriginal!$B$4:$AP$177,41,0)</f>
        <v>0</v>
      </c>
      <c r="AD109" s="156">
        <f>+VLOOKUP(A109,AuxOPEXSaneparOriginal!$B$4:$AQ$177,42,0)</f>
        <v>0</v>
      </c>
      <c r="AE109" s="156">
        <f>VLOOKUP(A109,AuxOPEXSaneparOriginal!$B$4:$AR$177,43,0)</f>
        <v>0</v>
      </c>
      <c r="AF109" s="156">
        <f>+VLOOKUP(A109,AuxOPEXSaneparOriginal!$B$4:$AS$177,44,0)</f>
        <v>0</v>
      </c>
      <c r="AG109" s="146">
        <f>VLOOKUP(A109,AuxOPEXSaneparOriginal!$B$4:$AT$177,45,0)</f>
        <v>0</v>
      </c>
      <c r="AH109" s="146">
        <f>VLOOKUP(A109,AuxOPEXSaneparOriginal!$B$4:$AU$177,46,0)</f>
        <v>9195511.2300000004</v>
      </c>
      <c r="AI109" s="146">
        <f>VLOOKUP(A109,AuxOPEXSaneparOriginal!$B$4:$AV$177,47,0)</f>
        <v>0</v>
      </c>
      <c r="AJ109" s="157">
        <f t="shared" ref="AJ109:AJ116" si="416">SUM(AC109:AI109)</f>
        <v>9195511.2300000004</v>
      </c>
      <c r="AK109" s="157">
        <f t="shared" ref="AK109:AK116" si="417">AVERAGE(AJ109,AB109,T109,L109)</f>
        <v>13299189.672499999</v>
      </c>
      <c r="AL109" s="157">
        <f t="shared" ref="AL109:AL116" si="418">AVERAGE(AJ109,AB109)</f>
        <v>8517968.2050000001</v>
      </c>
      <c r="AM109" s="144"/>
      <c r="AN109" s="167">
        <f t="shared" ref="AN109:AT116" si="419">E109*(1-$D109)</f>
        <v>0</v>
      </c>
      <c r="AO109" s="168">
        <f t="shared" si="419"/>
        <v>0</v>
      </c>
      <c r="AP109" s="57">
        <f t="shared" si="419"/>
        <v>0</v>
      </c>
      <c r="AQ109" s="57">
        <f t="shared" si="419"/>
        <v>0</v>
      </c>
      <c r="AR109" s="57">
        <f t="shared" si="419"/>
        <v>0</v>
      </c>
      <c r="AS109" s="57">
        <f t="shared" si="419"/>
        <v>19868771.68</v>
      </c>
      <c r="AT109" s="57">
        <f t="shared" si="419"/>
        <v>0</v>
      </c>
      <c r="AU109" s="157">
        <f t="shared" ref="AU109:AU116" si="420">SUM(AN109:AT109)</f>
        <v>19868771.68</v>
      </c>
      <c r="AV109" s="57">
        <f t="shared" ref="AV109:BB116" si="421">M109*(1-$D109)</f>
        <v>0</v>
      </c>
      <c r="AW109" s="57">
        <f t="shared" si="421"/>
        <v>0</v>
      </c>
      <c r="AX109" s="57">
        <f t="shared" si="421"/>
        <v>0</v>
      </c>
      <c r="AY109" s="57">
        <f t="shared" si="421"/>
        <v>0</v>
      </c>
      <c r="AZ109" s="57">
        <f t="shared" si="421"/>
        <v>0</v>
      </c>
      <c r="BA109" s="57">
        <f t="shared" si="421"/>
        <v>16292050.6</v>
      </c>
      <c r="BB109" s="57">
        <f t="shared" si="421"/>
        <v>0</v>
      </c>
      <c r="BC109" s="157">
        <f t="shared" ref="BC109:BC116" si="422">SUM(AV109:BB109)</f>
        <v>16292050.6</v>
      </c>
      <c r="BD109" s="57">
        <f t="shared" ref="BD109:BJ116" si="423">U109*(1-$D109)</f>
        <v>0</v>
      </c>
      <c r="BE109" s="57">
        <f t="shared" si="423"/>
        <v>0</v>
      </c>
      <c r="BF109" s="57">
        <f t="shared" si="423"/>
        <v>0</v>
      </c>
      <c r="BG109" s="57">
        <f t="shared" si="423"/>
        <v>0</v>
      </c>
      <c r="BH109" s="57">
        <f t="shared" si="423"/>
        <v>0</v>
      </c>
      <c r="BI109" s="57">
        <f t="shared" si="423"/>
        <v>7840425.1799999997</v>
      </c>
      <c r="BJ109" s="57">
        <f t="shared" si="423"/>
        <v>0</v>
      </c>
      <c r="BK109" s="157">
        <f t="shared" ref="BK109:BK116" si="424">SUM(BD109:BJ109)</f>
        <v>7840425.1799999997</v>
      </c>
      <c r="BL109" s="57">
        <f t="shared" ref="BL109:BR116" si="425">AC109*(1-$D109)</f>
        <v>0</v>
      </c>
      <c r="BM109" s="57">
        <f t="shared" si="425"/>
        <v>0</v>
      </c>
      <c r="BN109" s="57">
        <f t="shared" si="425"/>
        <v>0</v>
      </c>
      <c r="BO109" s="57">
        <f t="shared" si="425"/>
        <v>0</v>
      </c>
      <c r="BP109" s="57">
        <f t="shared" si="425"/>
        <v>0</v>
      </c>
      <c r="BQ109" s="57">
        <f t="shared" si="425"/>
        <v>9195511.2300000004</v>
      </c>
      <c r="BR109" s="57">
        <f t="shared" si="425"/>
        <v>0</v>
      </c>
      <c r="BS109" s="157">
        <f t="shared" ref="BS109:BS116" si="426">SUM(BL109:BR109)</f>
        <v>9195511.2300000004</v>
      </c>
      <c r="BT109" s="157">
        <f t="shared" ref="BT109:BT116" si="427">AVERAGE(BS109,BK109,BC109,AU109)</f>
        <v>13299189.672499999</v>
      </c>
      <c r="BU109" s="157">
        <f t="shared" ref="BU109:BU116" si="428">AVERAGE(BS109,BK109)</f>
        <v>8517968.2050000001</v>
      </c>
      <c r="BV109" s="144"/>
      <c r="BW109" s="158">
        <f t="shared" ref="BW109:BW116" si="429">L109*(1-$D109)</f>
        <v>19868771.68</v>
      </c>
      <c r="BX109" s="159">
        <f t="shared" ref="BX109:BX116" si="430">T109*(1-$D109)</f>
        <v>16292050.6</v>
      </c>
      <c r="BY109" s="159">
        <f t="shared" ref="BY109:BY116" si="431">AB109*(1-$D109)</f>
        <v>7840425.1799999997</v>
      </c>
      <c r="BZ109" s="159">
        <f t="shared" ref="BZ109:BZ116" si="432">AJ109*(1-$D109)</f>
        <v>9195511.2300000004</v>
      </c>
      <c r="CA109" s="158">
        <f t="shared" ref="CA109:CA116" si="433">AVERAGE(BW109:BZ109)</f>
        <v>13299189.672499999</v>
      </c>
      <c r="CB109" s="157">
        <f t="shared" ref="CB109:CB116" si="434">MEDIAN(BW109:BZ109)</f>
        <v>12743780.914999999</v>
      </c>
      <c r="CC109" s="144"/>
      <c r="CD109" s="158">
        <f t="shared" ref="CD109:CF116" si="435">+BW109*F$16</f>
        <v>22570684.216342669</v>
      </c>
      <c r="CE109" s="159">
        <f t="shared" si="435"/>
        <v>17787893.821403582</v>
      </c>
      <c r="CF109" s="159">
        <f t="shared" si="435"/>
        <v>8288841.8332772218</v>
      </c>
      <c r="CG109" s="159">
        <f t="shared" ref="CG109:CG116" si="436">BZ109</f>
        <v>9195511.2300000004</v>
      </c>
      <c r="CH109" s="158">
        <f t="shared" ref="CH109:CH116" si="437">AVERAGE(CD109:CG109)</f>
        <v>14460732.77525587</v>
      </c>
      <c r="CI109" s="157">
        <f t="shared" ref="CI109:CI116" si="438">MEDIAN(CD109:CG109)</f>
        <v>13491702.525701791</v>
      </c>
      <c r="CK109" s="61">
        <f t="shared" ref="CK109:CM116" si="439">IFERROR(+CE109/CD109-1,0)</f>
        <v>-0.21190276506885997</v>
      </c>
      <c r="CL109" s="62">
        <f t="shared" si="439"/>
        <v>-0.53401780354099404</v>
      </c>
      <c r="CM109" s="63">
        <f t="shared" si="439"/>
        <v>0.10938432834883782</v>
      </c>
      <c r="CN109" s="61">
        <f t="shared" si="381"/>
        <v>-0.59259049739653702</v>
      </c>
      <c r="CO109" s="29"/>
      <c r="CP109" s="61">
        <f t="shared" ref="CP109:CS116" si="440">+CD109/CD$177</f>
        <v>9.5082350292314145E-3</v>
      </c>
      <c r="CQ109" s="62">
        <f t="shared" si="440"/>
        <v>7.6592043527830139E-3</v>
      </c>
      <c r="CR109" s="63">
        <f t="shared" si="440"/>
        <v>3.4421343537501927E-3</v>
      </c>
      <c r="CS109" s="61">
        <f t="shared" si="440"/>
        <v>3.7994315352887207E-3</v>
      </c>
      <c r="CU109" s="60">
        <f t="shared" ref="CU109:CX116" si="441">IFERROR(+CD109/$CD109*100,0)</f>
        <v>100</v>
      </c>
      <c r="CV109" s="132">
        <f t="shared" si="441"/>
        <v>78.809723493114006</v>
      </c>
      <c r="CW109" s="132">
        <f t="shared" si="441"/>
        <v>36.723928055648187</v>
      </c>
      <c r="CX109" s="131">
        <f t="shared" si="441"/>
        <v>40.740950260346303</v>
      </c>
    </row>
    <row r="110" spans="1:102">
      <c r="A110" s="29">
        <v>611</v>
      </c>
      <c r="B110" s="29" t="s">
        <v>6</v>
      </c>
      <c r="C110" s="55" t="s">
        <v>137</v>
      </c>
      <c r="D110" s="56">
        <v>0</v>
      </c>
      <c r="E110" s="57">
        <f>VLOOKUP(A110,AuxOPEXSaneparOriginal!$B$4:$F$177,3,0)</f>
        <v>0</v>
      </c>
      <c r="F110" s="156">
        <f>VLOOKUP(A110,AuxOPEXSaneparOriginal!$B$4:$F$177,4,0)</f>
        <v>0</v>
      </c>
      <c r="G110" s="57">
        <f>VLOOKUP(A110,AuxOPEXSaneparOriginal!$B$4:$K$177,8,0)</f>
        <v>0</v>
      </c>
      <c r="H110" s="156">
        <f>VLOOKUP(A110,AuxOPEXSaneparOriginal!$B$4:$K$177,9,0)</f>
        <v>0</v>
      </c>
      <c r="I110" s="57">
        <f>VLOOKUP(A110,AuxOPEXSaneparOriginal!$B$4:$N$177,13,0)</f>
        <v>26960352.039999999</v>
      </c>
      <c r="J110" s="57">
        <f>VLOOKUP(A110,AuxOPEXSaneparOriginal!$B$4:$Q$177,16,0)</f>
        <v>0</v>
      </c>
      <c r="K110" s="57">
        <f>VLOOKUP(A110,AuxOPEXSaneparOriginal!$B$4:$V$177,21,0)</f>
        <v>0</v>
      </c>
      <c r="L110" s="157">
        <f t="shared" si="413"/>
        <v>26960352.039999999</v>
      </c>
      <c r="M110" s="19">
        <f>VLOOKUP(A110,AuxOPEXSaneparOriginal!$B$4:$AB$177,27,0)</f>
        <v>0</v>
      </c>
      <c r="N110" s="156">
        <f>VLOOKUP(A110,AuxOPEXSaneparOriginal!$B$4:$AC$177,28,0)</f>
        <v>0</v>
      </c>
      <c r="O110" s="156">
        <f>VLOOKUP(A110,AuxOPEXSaneparOriginal!$B$4:$AD$177,29,0)</f>
        <v>0</v>
      </c>
      <c r="P110" s="156">
        <f>VLOOKUP(A110,AuxOPEXSaneparOriginal!$B$4:$AE$177,30,0)</f>
        <v>0</v>
      </c>
      <c r="Q110" s="146">
        <f>VLOOKUP(A110,AuxOPEXSaneparOriginal!$B$4:$AF$177,31,0)</f>
        <v>22805608.670000002</v>
      </c>
      <c r="R110" s="146">
        <f>VLOOKUP(A110,AuxOPEXSaneparOriginal!$B$4:$AG$177,32,0)</f>
        <v>0</v>
      </c>
      <c r="S110" s="146">
        <f>VLOOKUP(A110,AuxOPEXSaneparOriginal!$B$4:$AH$177,33,0)</f>
        <v>0</v>
      </c>
      <c r="T110" s="157">
        <f t="shared" si="414"/>
        <v>22805608.670000002</v>
      </c>
      <c r="U110" s="156">
        <f>VLOOKUP(A110,AuxOPEXSaneparOriginal!$B$4:$AI$177,34,0)</f>
        <v>0</v>
      </c>
      <c r="V110" s="156">
        <f>VLOOKUP(A110,AuxOPEXSaneparOriginal!$B$4:$AJ$177,35,0)</f>
        <v>0</v>
      </c>
      <c r="W110" s="156">
        <f>VLOOKUP(A110,AuxOPEXSaneparOriginal!$B$4:$AK$177,36,0)</f>
        <v>0</v>
      </c>
      <c r="X110" s="19">
        <f>+VLOOKUP(A110,AuxOPEXSaneparOriginal!$B$4:$AL$177,37,0)</f>
        <v>0</v>
      </c>
      <c r="Y110" s="146">
        <f>VLOOKUP(A110,AuxOPEXSaneparOriginal!$B$4:$AM$177,38,0)</f>
        <v>16600039</v>
      </c>
      <c r="Z110" s="146">
        <f>VLOOKUP(A110,AuxOPEXSaneparOriginal!$B$4:$AN$177,39,0)</f>
        <v>0</v>
      </c>
      <c r="AA110" s="146">
        <f>VLOOKUP(A110,AuxOPEXSaneparOriginal!$B$4:$AO$177,40,0)</f>
        <v>0</v>
      </c>
      <c r="AB110" s="157">
        <f t="shared" si="415"/>
        <v>16600039</v>
      </c>
      <c r="AC110" s="156">
        <f>VLOOKUP(A110,AuxOPEXSaneparOriginal!$B$4:$AP$177,41,0)</f>
        <v>0</v>
      </c>
      <c r="AD110" s="156">
        <f>+VLOOKUP(A110,AuxOPEXSaneparOriginal!$B$4:$AQ$177,42,0)</f>
        <v>0</v>
      </c>
      <c r="AE110" s="156">
        <f>VLOOKUP(A110,AuxOPEXSaneparOriginal!$B$4:$AR$177,43,0)</f>
        <v>0</v>
      </c>
      <c r="AF110" s="156">
        <f>+VLOOKUP(A110,AuxOPEXSaneparOriginal!$B$4:$AS$177,44,0)</f>
        <v>0</v>
      </c>
      <c r="AG110" s="146">
        <f>VLOOKUP(A110,AuxOPEXSaneparOriginal!$B$4:$AT$177,45,0)</f>
        <v>4.1557995933416692E-9</v>
      </c>
      <c r="AH110" s="146">
        <f>VLOOKUP(A110,AuxOPEXSaneparOriginal!$B$4:$AU$177,46,0)</f>
        <v>0</v>
      </c>
      <c r="AI110" s="146">
        <f>VLOOKUP(A110,AuxOPEXSaneparOriginal!$B$4:$AV$177,47,0)</f>
        <v>0</v>
      </c>
      <c r="AJ110" s="157">
        <f t="shared" si="416"/>
        <v>4.1557995933416692E-9</v>
      </c>
      <c r="AK110" s="157">
        <f t="shared" si="417"/>
        <v>16591499.9275</v>
      </c>
      <c r="AL110" s="157">
        <f t="shared" si="418"/>
        <v>8300019.5000000019</v>
      </c>
      <c r="AM110" s="144"/>
      <c r="AN110" s="167">
        <f t="shared" si="419"/>
        <v>0</v>
      </c>
      <c r="AO110" s="168">
        <f t="shared" si="419"/>
        <v>0</v>
      </c>
      <c r="AP110" s="57">
        <f t="shared" si="419"/>
        <v>0</v>
      </c>
      <c r="AQ110" s="57">
        <f t="shared" si="419"/>
        <v>0</v>
      </c>
      <c r="AR110" s="57">
        <f t="shared" si="419"/>
        <v>26960352.039999999</v>
      </c>
      <c r="AS110" s="57">
        <f t="shared" si="419"/>
        <v>0</v>
      </c>
      <c r="AT110" s="57">
        <f t="shared" si="419"/>
        <v>0</v>
      </c>
      <c r="AU110" s="157">
        <f t="shared" si="420"/>
        <v>26960352.039999999</v>
      </c>
      <c r="AV110" s="57">
        <f t="shared" si="421"/>
        <v>0</v>
      </c>
      <c r="AW110" s="57">
        <f t="shared" si="421"/>
        <v>0</v>
      </c>
      <c r="AX110" s="57">
        <f t="shared" si="421"/>
        <v>0</v>
      </c>
      <c r="AY110" s="57">
        <f t="shared" si="421"/>
        <v>0</v>
      </c>
      <c r="AZ110" s="57">
        <f t="shared" si="421"/>
        <v>22805608.670000002</v>
      </c>
      <c r="BA110" s="57">
        <f t="shared" si="421"/>
        <v>0</v>
      </c>
      <c r="BB110" s="57">
        <f t="shared" si="421"/>
        <v>0</v>
      </c>
      <c r="BC110" s="157">
        <f t="shared" si="422"/>
        <v>22805608.670000002</v>
      </c>
      <c r="BD110" s="57">
        <f t="shared" si="423"/>
        <v>0</v>
      </c>
      <c r="BE110" s="57">
        <f t="shared" si="423"/>
        <v>0</v>
      </c>
      <c r="BF110" s="57">
        <f t="shared" si="423"/>
        <v>0</v>
      </c>
      <c r="BG110" s="57">
        <f t="shared" si="423"/>
        <v>0</v>
      </c>
      <c r="BH110" s="57">
        <f t="shared" si="423"/>
        <v>16600039</v>
      </c>
      <c r="BI110" s="57">
        <f t="shared" si="423"/>
        <v>0</v>
      </c>
      <c r="BJ110" s="57">
        <f t="shared" si="423"/>
        <v>0</v>
      </c>
      <c r="BK110" s="157">
        <f t="shared" si="424"/>
        <v>16600039</v>
      </c>
      <c r="BL110" s="57">
        <f t="shared" si="425"/>
        <v>0</v>
      </c>
      <c r="BM110" s="57">
        <f t="shared" si="425"/>
        <v>0</v>
      </c>
      <c r="BN110" s="57">
        <f t="shared" si="425"/>
        <v>0</v>
      </c>
      <c r="BO110" s="57">
        <f t="shared" si="425"/>
        <v>0</v>
      </c>
      <c r="BP110" s="57">
        <f t="shared" si="425"/>
        <v>4.1557995933416692E-9</v>
      </c>
      <c r="BQ110" s="57">
        <f t="shared" si="425"/>
        <v>0</v>
      </c>
      <c r="BR110" s="57">
        <f t="shared" si="425"/>
        <v>0</v>
      </c>
      <c r="BS110" s="157">
        <f t="shared" si="426"/>
        <v>4.1557995933416692E-9</v>
      </c>
      <c r="BT110" s="157">
        <f t="shared" si="427"/>
        <v>16591499.9275</v>
      </c>
      <c r="BU110" s="157">
        <f t="shared" si="428"/>
        <v>8300019.5000000019</v>
      </c>
      <c r="BV110" s="144"/>
      <c r="BW110" s="158">
        <f t="shared" si="429"/>
        <v>26960352.039999999</v>
      </c>
      <c r="BX110" s="159">
        <f t="shared" si="430"/>
        <v>22805608.670000002</v>
      </c>
      <c r="BY110" s="159">
        <f t="shared" si="431"/>
        <v>16600039</v>
      </c>
      <c r="BZ110" s="159">
        <f t="shared" si="432"/>
        <v>4.1557995933416692E-9</v>
      </c>
      <c r="CA110" s="158">
        <f t="shared" si="433"/>
        <v>16591499.927500002</v>
      </c>
      <c r="CB110" s="157">
        <f t="shared" si="434"/>
        <v>19702823.835000001</v>
      </c>
      <c r="CC110" s="144"/>
      <c r="CD110" s="158">
        <f t="shared" si="435"/>
        <v>30626633.697180312</v>
      </c>
      <c r="CE110" s="159">
        <f t="shared" si="435"/>
        <v>24899489.666109983</v>
      </c>
      <c r="CF110" s="159">
        <f t="shared" si="435"/>
        <v>17549443.370523099</v>
      </c>
      <c r="CG110" s="159">
        <f t="shared" si="436"/>
        <v>4.1557995933416692E-9</v>
      </c>
      <c r="CH110" s="158">
        <f t="shared" si="437"/>
        <v>18268891.683453348</v>
      </c>
      <c r="CI110" s="157">
        <f t="shared" si="438"/>
        <v>21224466.518316541</v>
      </c>
      <c r="CK110" s="61">
        <f t="shared" si="439"/>
        <v>-0.18699880919650691</v>
      </c>
      <c r="CL110" s="62">
        <f t="shared" si="439"/>
        <v>-0.29518863214256286</v>
      </c>
      <c r="CM110" s="63">
        <f t="shared" si="439"/>
        <v>-0.99999999999999978</v>
      </c>
      <c r="CN110" s="61">
        <f t="shared" si="381"/>
        <v>-0.99999999999999989</v>
      </c>
      <c r="CO110" s="29"/>
      <c r="CP110" s="61">
        <f t="shared" si="440"/>
        <v>1.2901923067804796E-2</v>
      </c>
      <c r="CQ110" s="62">
        <f t="shared" si="440"/>
        <v>1.0721352485434217E-2</v>
      </c>
      <c r="CR110" s="63">
        <f t="shared" si="440"/>
        <v>7.2878145258307271E-3</v>
      </c>
      <c r="CS110" s="61">
        <f t="shared" si="440"/>
        <v>1.7171069268850621E-18</v>
      </c>
      <c r="CU110" s="60">
        <f t="shared" si="441"/>
        <v>100</v>
      </c>
      <c r="CV110" s="132">
        <f t="shared" si="441"/>
        <v>81.300119080349305</v>
      </c>
      <c r="CW110" s="132">
        <f t="shared" si="441"/>
        <v>57.301248135993518</v>
      </c>
      <c r="CX110" s="131">
        <f t="shared" si="441"/>
        <v>1.3569234002117181E-14</v>
      </c>
    </row>
    <row r="111" spans="1:102">
      <c r="A111" s="29">
        <v>615</v>
      </c>
      <c r="B111" s="29" t="s">
        <v>6</v>
      </c>
      <c r="C111" s="55" t="s">
        <v>138</v>
      </c>
      <c r="D111" s="56">
        <v>0</v>
      </c>
      <c r="E111" s="57">
        <f>VLOOKUP(A111,AuxOPEXSaneparOriginal!$B$4:$F$177,3,0)</f>
        <v>0</v>
      </c>
      <c r="F111" s="156">
        <f>VLOOKUP(A111,AuxOPEXSaneparOriginal!$B$4:$F$177,4,0)</f>
        <v>0</v>
      </c>
      <c r="G111" s="57">
        <f>VLOOKUP(A111,AuxOPEXSaneparOriginal!$B$4:$K$177,8,0)</f>
        <v>0</v>
      </c>
      <c r="H111" s="156">
        <f>VLOOKUP(A111,AuxOPEXSaneparOriginal!$B$4:$K$177,9,0)</f>
        <v>0</v>
      </c>
      <c r="I111" s="57">
        <f>VLOOKUP(A111,AuxOPEXSaneparOriginal!$B$4:$N$177,13,0)</f>
        <v>0</v>
      </c>
      <c r="J111" s="57">
        <f>VLOOKUP(A111,AuxOPEXSaneparOriginal!$B$4:$Q$177,16,0)</f>
        <v>0</v>
      </c>
      <c r="K111" s="57">
        <f>VLOOKUP(A111,AuxOPEXSaneparOriginal!$B$4:$V$177,21,0)</f>
        <v>0</v>
      </c>
      <c r="L111" s="157">
        <f t="shared" si="413"/>
        <v>0</v>
      </c>
      <c r="M111" s="19">
        <f>VLOOKUP(A111,AuxOPEXSaneparOriginal!$B$4:$AB$177,27,0)</f>
        <v>389997.43</v>
      </c>
      <c r="N111" s="156">
        <f>VLOOKUP(A111,AuxOPEXSaneparOriginal!$B$4:$AC$177,28,0)</f>
        <v>0</v>
      </c>
      <c r="O111" s="156">
        <f>VLOOKUP(A111,AuxOPEXSaneparOriginal!$B$4:$AD$177,29,0)</f>
        <v>0</v>
      </c>
      <c r="P111" s="156">
        <f>VLOOKUP(A111,AuxOPEXSaneparOriginal!$B$4:$AE$177,30,0)</f>
        <v>0</v>
      </c>
      <c r="Q111" s="146">
        <f>VLOOKUP(A111,AuxOPEXSaneparOriginal!$B$4:$AF$177,31,0)</f>
        <v>0</v>
      </c>
      <c r="R111" s="146">
        <f>VLOOKUP(A111,AuxOPEXSaneparOriginal!$B$4:$AG$177,32,0)</f>
        <v>0</v>
      </c>
      <c r="S111" s="146">
        <f>VLOOKUP(A111,AuxOPEXSaneparOriginal!$B$4:$AH$177,33,0)</f>
        <v>0</v>
      </c>
      <c r="T111" s="157">
        <f t="shared" si="414"/>
        <v>389997.43</v>
      </c>
      <c r="U111" s="156">
        <f>VLOOKUP(A111,AuxOPEXSaneparOriginal!$B$4:$AI$177,34,0)</f>
        <v>399953.84</v>
      </c>
      <c r="V111" s="156">
        <f>VLOOKUP(A111,AuxOPEXSaneparOriginal!$B$4:$AJ$177,35,0)</f>
        <v>0</v>
      </c>
      <c r="W111" s="156">
        <f>VLOOKUP(A111,AuxOPEXSaneparOriginal!$B$4:$AK$177,36,0)</f>
        <v>0</v>
      </c>
      <c r="X111" s="19">
        <f>+VLOOKUP(A111,AuxOPEXSaneparOriginal!$B$4:$AL$177,37,0)</f>
        <v>0</v>
      </c>
      <c r="Y111" s="146">
        <f>VLOOKUP(A111,AuxOPEXSaneparOriginal!$B$4:$AM$177,38,0)</f>
        <v>0</v>
      </c>
      <c r="Z111" s="146">
        <f>VLOOKUP(A111,AuxOPEXSaneparOriginal!$B$4:$AN$177,39,0)</f>
        <v>0</v>
      </c>
      <c r="AA111" s="146">
        <f>VLOOKUP(A111,AuxOPEXSaneparOriginal!$B$4:$AO$177,40,0)</f>
        <v>0</v>
      </c>
      <c r="AB111" s="157">
        <f t="shared" si="415"/>
        <v>399953.84</v>
      </c>
      <c r="AC111" s="156">
        <f>VLOOKUP(A111,AuxOPEXSaneparOriginal!$B$4:$AP$177,41,0)</f>
        <v>0</v>
      </c>
      <c r="AD111" s="156">
        <f>+VLOOKUP(A111,AuxOPEXSaneparOriginal!$B$4:$AQ$177,42,0)</f>
        <v>0</v>
      </c>
      <c r="AE111" s="156">
        <f>VLOOKUP(A111,AuxOPEXSaneparOriginal!$B$4:$AR$177,43,0)</f>
        <v>0</v>
      </c>
      <c r="AF111" s="156">
        <f>+VLOOKUP(A111,AuxOPEXSaneparOriginal!$B$4:$AS$177,44,0)</f>
        <v>0</v>
      </c>
      <c r="AG111" s="146">
        <f>VLOOKUP(A111,AuxOPEXSaneparOriginal!$B$4:$AT$177,45,0)</f>
        <v>0</v>
      </c>
      <c r="AH111" s="146">
        <f>VLOOKUP(A111,AuxOPEXSaneparOriginal!$B$4:$AU$177,46,0)</f>
        <v>0</v>
      </c>
      <c r="AI111" s="146">
        <f>VLOOKUP(A111,AuxOPEXSaneparOriginal!$B$4:$AV$177,47,0)</f>
        <v>0</v>
      </c>
      <c r="AJ111" s="157">
        <f t="shared" si="416"/>
        <v>0</v>
      </c>
      <c r="AK111" s="157">
        <f t="shared" si="417"/>
        <v>197487.8175</v>
      </c>
      <c r="AL111" s="157">
        <f t="shared" si="418"/>
        <v>199976.92</v>
      </c>
      <c r="AM111" s="144"/>
      <c r="AN111" s="167">
        <f t="shared" si="419"/>
        <v>0</v>
      </c>
      <c r="AO111" s="168">
        <f t="shared" si="419"/>
        <v>0</v>
      </c>
      <c r="AP111" s="57">
        <f t="shared" si="419"/>
        <v>0</v>
      </c>
      <c r="AQ111" s="57">
        <f t="shared" si="419"/>
        <v>0</v>
      </c>
      <c r="AR111" s="57">
        <f t="shared" si="419"/>
        <v>0</v>
      </c>
      <c r="AS111" s="57">
        <f t="shared" si="419"/>
        <v>0</v>
      </c>
      <c r="AT111" s="57">
        <f t="shared" si="419"/>
        <v>0</v>
      </c>
      <c r="AU111" s="157">
        <f t="shared" si="420"/>
        <v>0</v>
      </c>
      <c r="AV111" s="57">
        <f t="shared" si="421"/>
        <v>389997.43</v>
      </c>
      <c r="AW111" s="57">
        <f t="shared" si="421"/>
        <v>0</v>
      </c>
      <c r="AX111" s="57">
        <f t="shared" si="421"/>
        <v>0</v>
      </c>
      <c r="AY111" s="57">
        <f t="shared" si="421"/>
        <v>0</v>
      </c>
      <c r="AZ111" s="57">
        <f t="shared" si="421"/>
        <v>0</v>
      </c>
      <c r="BA111" s="57">
        <f t="shared" si="421"/>
        <v>0</v>
      </c>
      <c r="BB111" s="57">
        <f t="shared" si="421"/>
        <v>0</v>
      </c>
      <c r="BC111" s="157">
        <f t="shared" si="422"/>
        <v>389997.43</v>
      </c>
      <c r="BD111" s="57">
        <f t="shared" si="423"/>
        <v>399953.84</v>
      </c>
      <c r="BE111" s="57">
        <f t="shared" si="423"/>
        <v>0</v>
      </c>
      <c r="BF111" s="57">
        <f t="shared" si="423"/>
        <v>0</v>
      </c>
      <c r="BG111" s="57">
        <f t="shared" si="423"/>
        <v>0</v>
      </c>
      <c r="BH111" s="57">
        <f t="shared" si="423"/>
        <v>0</v>
      </c>
      <c r="BI111" s="57">
        <f t="shared" si="423"/>
        <v>0</v>
      </c>
      <c r="BJ111" s="57">
        <f t="shared" si="423"/>
        <v>0</v>
      </c>
      <c r="BK111" s="157">
        <f t="shared" si="424"/>
        <v>399953.84</v>
      </c>
      <c r="BL111" s="57">
        <f t="shared" si="425"/>
        <v>0</v>
      </c>
      <c r="BM111" s="57">
        <f t="shared" si="425"/>
        <v>0</v>
      </c>
      <c r="BN111" s="57">
        <f t="shared" si="425"/>
        <v>0</v>
      </c>
      <c r="BO111" s="57">
        <f t="shared" si="425"/>
        <v>0</v>
      </c>
      <c r="BP111" s="57">
        <f t="shared" si="425"/>
        <v>0</v>
      </c>
      <c r="BQ111" s="57">
        <f t="shared" si="425"/>
        <v>0</v>
      </c>
      <c r="BR111" s="57">
        <f t="shared" si="425"/>
        <v>0</v>
      </c>
      <c r="BS111" s="157">
        <f t="shared" si="426"/>
        <v>0</v>
      </c>
      <c r="BT111" s="157">
        <f t="shared" si="427"/>
        <v>197487.8175</v>
      </c>
      <c r="BU111" s="157">
        <f t="shared" si="428"/>
        <v>199976.92</v>
      </c>
      <c r="BV111" s="144"/>
      <c r="BW111" s="158">
        <f t="shared" si="429"/>
        <v>0</v>
      </c>
      <c r="BX111" s="159">
        <f t="shared" si="430"/>
        <v>389997.43</v>
      </c>
      <c r="BY111" s="159">
        <f t="shared" si="431"/>
        <v>399953.84</v>
      </c>
      <c r="BZ111" s="159">
        <f t="shared" si="432"/>
        <v>0</v>
      </c>
      <c r="CA111" s="158">
        <f t="shared" si="433"/>
        <v>197487.8175</v>
      </c>
      <c r="CB111" s="157">
        <f t="shared" si="434"/>
        <v>194998.715</v>
      </c>
      <c r="CC111" s="144"/>
      <c r="CD111" s="158">
        <f t="shared" si="435"/>
        <v>0</v>
      </c>
      <c r="CE111" s="159">
        <f t="shared" si="435"/>
        <v>425804.77103724901</v>
      </c>
      <c r="CF111" s="159">
        <f t="shared" si="435"/>
        <v>422828.35997573601</v>
      </c>
      <c r="CG111" s="159">
        <f t="shared" si="436"/>
        <v>0</v>
      </c>
      <c r="CH111" s="158">
        <f t="shared" si="437"/>
        <v>212158.28275324625</v>
      </c>
      <c r="CI111" s="157">
        <f t="shared" si="438"/>
        <v>211414.179987868</v>
      </c>
      <c r="CK111" s="61">
        <f t="shared" si="439"/>
        <v>0</v>
      </c>
      <c r="CL111" s="62">
        <f t="shared" si="439"/>
        <v>-6.990083869334196E-3</v>
      </c>
      <c r="CM111" s="63">
        <f t="shared" si="439"/>
        <v>-1</v>
      </c>
      <c r="CN111" s="61">
        <f t="shared" si="381"/>
        <v>0</v>
      </c>
      <c r="CO111" s="29"/>
      <c r="CP111" s="61">
        <f t="shared" si="440"/>
        <v>0</v>
      </c>
      <c r="CQ111" s="62">
        <f t="shared" si="440"/>
        <v>1.8334524528362247E-4</v>
      </c>
      <c r="CR111" s="63">
        <f t="shared" si="440"/>
        <v>1.7558931065244959E-4</v>
      </c>
      <c r="CS111" s="61">
        <f t="shared" si="440"/>
        <v>0</v>
      </c>
      <c r="CU111" s="60">
        <f t="shared" si="441"/>
        <v>0</v>
      </c>
      <c r="CV111" s="132">
        <f t="shared" si="441"/>
        <v>0</v>
      </c>
      <c r="CW111" s="132">
        <f t="shared" si="441"/>
        <v>0</v>
      </c>
      <c r="CX111" s="131">
        <f t="shared" si="441"/>
        <v>0</v>
      </c>
    </row>
    <row r="112" spans="1:102">
      <c r="A112" s="29">
        <v>660</v>
      </c>
      <c r="B112" s="29" t="s">
        <v>6</v>
      </c>
      <c r="C112" s="55" t="s">
        <v>139</v>
      </c>
      <c r="D112" s="56">
        <v>0</v>
      </c>
      <c r="E112" s="57">
        <f>VLOOKUP(A112,AuxOPEXSaneparOriginal!$B$4:$F$177,3,0)</f>
        <v>44488534.409999929</v>
      </c>
      <c r="F112" s="156">
        <f>VLOOKUP(A112,AuxOPEXSaneparOriginal!$B$4:$F$177,4,0)</f>
        <v>17531640.660000015</v>
      </c>
      <c r="G112" s="57">
        <f>VLOOKUP(A112,AuxOPEXSaneparOriginal!$B$4:$K$177,8,0)</f>
        <v>0</v>
      </c>
      <c r="H112" s="156">
        <f>VLOOKUP(A112,AuxOPEXSaneparOriginal!$B$4:$K$177,9,0)</f>
        <v>21431610.799999993</v>
      </c>
      <c r="I112" s="57">
        <f>VLOOKUP(A112,AuxOPEXSaneparOriginal!$B$4:$N$177,13,0)</f>
        <v>0</v>
      </c>
      <c r="J112" s="57">
        <f>VLOOKUP(A112,AuxOPEXSaneparOriginal!$B$4:$Q$177,16,0)</f>
        <v>0</v>
      </c>
      <c r="K112" s="57">
        <f>VLOOKUP(A112,AuxOPEXSaneparOriginal!$B$4:$V$177,21,0)</f>
        <v>0</v>
      </c>
      <c r="L112" s="157">
        <f t="shared" si="413"/>
        <v>83451785.869999945</v>
      </c>
      <c r="M112" s="19">
        <f>VLOOKUP(A112,AuxOPEXSaneparOriginal!$B$4:$AB$177,27,0)</f>
        <v>49293724.589999981</v>
      </c>
      <c r="N112" s="156">
        <f>VLOOKUP(A112,AuxOPEXSaneparOriginal!$B$4:$AC$177,28,0)</f>
        <v>22285433.620000016</v>
      </c>
      <c r="O112" s="156">
        <f>VLOOKUP(A112,AuxOPEXSaneparOriginal!$B$4:$AD$177,29,0)</f>
        <v>0</v>
      </c>
      <c r="P112" s="156">
        <f>VLOOKUP(A112,AuxOPEXSaneparOriginal!$B$4:$AE$177,30,0)</f>
        <v>26961596.380000021</v>
      </c>
      <c r="Q112" s="146">
        <f>VLOOKUP(A112,AuxOPEXSaneparOriginal!$B$4:$AF$177,31,0)</f>
        <v>0</v>
      </c>
      <c r="R112" s="146">
        <f>VLOOKUP(A112,AuxOPEXSaneparOriginal!$B$4:$AG$177,32,0)</f>
        <v>0</v>
      </c>
      <c r="S112" s="146">
        <f>VLOOKUP(A112,AuxOPEXSaneparOriginal!$B$4:$AH$177,33,0)</f>
        <v>0</v>
      </c>
      <c r="T112" s="157">
        <f t="shared" si="414"/>
        <v>98540754.590000018</v>
      </c>
      <c r="U112" s="156">
        <f>VLOOKUP(A112,AuxOPEXSaneparOriginal!$B$4:$AI$177,34,0)</f>
        <v>52847539.720000036</v>
      </c>
      <c r="V112" s="156">
        <f>VLOOKUP(A112,AuxOPEXSaneparOriginal!$B$4:$AJ$177,35,0)</f>
        <v>28318740.660000011</v>
      </c>
      <c r="W112" s="156">
        <f>VLOOKUP(A112,AuxOPEXSaneparOriginal!$B$4:$AK$177,36,0)</f>
        <v>0</v>
      </c>
      <c r="X112" s="19">
        <f>+VLOOKUP(A112,AuxOPEXSaneparOriginal!$B$4:$AL$177,37,0)</f>
        <v>35839308.359999985</v>
      </c>
      <c r="Y112" s="146">
        <f>VLOOKUP(A112,AuxOPEXSaneparOriginal!$B$4:$AM$177,38,0)</f>
        <v>0</v>
      </c>
      <c r="Z112" s="146">
        <f>VLOOKUP(A112,AuxOPEXSaneparOriginal!$B$4:$AN$177,39,0)</f>
        <v>0</v>
      </c>
      <c r="AA112" s="146">
        <f>VLOOKUP(A112,AuxOPEXSaneparOriginal!$B$4:$AO$177,40,0)</f>
        <v>0</v>
      </c>
      <c r="AB112" s="157">
        <f t="shared" si="415"/>
        <v>117005588.74000004</v>
      </c>
      <c r="AC112" s="156">
        <f>VLOOKUP(A112,AuxOPEXSaneparOriginal!$B$4:$AP$177,41,0)</f>
        <v>37583862.129999973</v>
      </c>
      <c r="AD112" s="156">
        <f>+VLOOKUP(A112,AuxOPEXSaneparOriginal!$B$4:$AQ$177,42,0)</f>
        <v>20852289.990000021</v>
      </c>
      <c r="AE112" s="156">
        <f>VLOOKUP(A112,AuxOPEXSaneparOriginal!$B$4:$AR$177,43,0)</f>
        <v>0</v>
      </c>
      <c r="AF112" s="156">
        <f>+VLOOKUP(A112,AuxOPEXSaneparOriginal!$B$4:$AS$177,44,0)</f>
        <v>34061670.13000001</v>
      </c>
      <c r="AG112" s="146">
        <f>VLOOKUP(A112,AuxOPEXSaneparOriginal!$B$4:$AT$177,45,0)</f>
        <v>0</v>
      </c>
      <c r="AH112" s="146">
        <f>VLOOKUP(A112,AuxOPEXSaneparOriginal!$B$4:$AU$177,46,0)</f>
        <v>0</v>
      </c>
      <c r="AI112" s="146">
        <f>VLOOKUP(A112,AuxOPEXSaneparOriginal!$B$4:$AV$177,47,0)</f>
        <v>0</v>
      </c>
      <c r="AJ112" s="157">
        <f t="shared" si="416"/>
        <v>92497822.25</v>
      </c>
      <c r="AK112" s="157">
        <f t="shared" si="417"/>
        <v>97873987.862499997</v>
      </c>
      <c r="AL112" s="157">
        <f t="shared" si="418"/>
        <v>104751705.49500002</v>
      </c>
      <c r="AM112" s="144"/>
      <c r="AN112" s="167">
        <f t="shared" si="419"/>
        <v>44488534.409999929</v>
      </c>
      <c r="AO112" s="168">
        <f t="shared" si="419"/>
        <v>17531640.660000015</v>
      </c>
      <c r="AP112" s="57">
        <f t="shared" si="419"/>
        <v>0</v>
      </c>
      <c r="AQ112" s="57">
        <f t="shared" si="419"/>
        <v>21431610.799999993</v>
      </c>
      <c r="AR112" s="57">
        <f t="shared" si="419"/>
        <v>0</v>
      </c>
      <c r="AS112" s="57">
        <f t="shared" si="419"/>
        <v>0</v>
      </c>
      <c r="AT112" s="57">
        <f t="shared" si="419"/>
        <v>0</v>
      </c>
      <c r="AU112" s="157">
        <f t="shared" si="420"/>
        <v>83451785.869999945</v>
      </c>
      <c r="AV112" s="57">
        <f t="shared" si="421"/>
        <v>49293724.589999981</v>
      </c>
      <c r="AW112" s="57">
        <f t="shared" si="421"/>
        <v>22285433.620000016</v>
      </c>
      <c r="AX112" s="57">
        <f t="shared" si="421"/>
        <v>0</v>
      </c>
      <c r="AY112" s="57">
        <f t="shared" si="421"/>
        <v>26961596.380000021</v>
      </c>
      <c r="AZ112" s="57">
        <f t="shared" si="421"/>
        <v>0</v>
      </c>
      <c r="BA112" s="57">
        <f t="shared" si="421"/>
        <v>0</v>
      </c>
      <c r="BB112" s="57">
        <f t="shared" si="421"/>
        <v>0</v>
      </c>
      <c r="BC112" s="157">
        <f t="shared" si="422"/>
        <v>98540754.590000018</v>
      </c>
      <c r="BD112" s="57">
        <f t="shared" si="423"/>
        <v>52847539.720000036</v>
      </c>
      <c r="BE112" s="57">
        <f t="shared" si="423"/>
        <v>28318740.660000011</v>
      </c>
      <c r="BF112" s="57">
        <f t="shared" si="423"/>
        <v>0</v>
      </c>
      <c r="BG112" s="57">
        <f t="shared" si="423"/>
        <v>35839308.359999985</v>
      </c>
      <c r="BH112" s="57">
        <f t="shared" si="423"/>
        <v>0</v>
      </c>
      <c r="BI112" s="57">
        <f t="shared" si="423"/>
        <v>0</v>
      </c>
      <c r="BJ112" s="57">
        <f t="shared" si="423"/>
        <v>0</v>
      </c>
      <c r="BK112" s="157">
        <f t="shared" si="424"/>
        <v>117005588.74000004</v>
      </c>
      <c r="BL112" s="57">
        <f t="shared" si="425"/>
        <v>37583862.129999973</v>
      </c>
      <c r="BM112" s="57">
        <f t="shared" si="425"/>
        <v>20852289.990000021</v>
      </c>
      <c r="BN112" s="57">
        <f t="shared" si="425"/>
        <v>0</v>
      </c>
      <c r="BO112" s="57">
        <f t="shared" si="425"/>
        <v>34061670.13000001</v>
      </c>
      <c r="BP112" s="57">
        <f t="shared" si="425"/>
        <v>0</v>
      </c>
      <c r="BQ112" s="57">
        <f t="shared" si="425"/>
        <v>0</v>
      </c>
      <c r="BR112" s="57">
        <f t="shared" si="425"/>
        <v>0</v>
      </c>
      <c r="BS112" s="157">
        <f t="shared" si="426"/>
        <v>92497822.25</v>
      </c>
      <c r="BT112" s="157">
        <f t="shared" si="427"/>
        <v>97873987.862499997</v>
      </c>
      <c r="BU112" s="157">
        <f t="shared" si="428"/>
        <v>104751705.49500002</v>
      </c>
      <c r="BV112" s="144"/>
      <c r="BW112" s="158">
        <f t="shared" si="429"/>
        <v>83451785.869999945</v>
      </c>
      <c r="BX112" s="159">
        <f t="shared" si="430"/>
        <v>98540754.590000018</v>
      </c>
      <c r="BY112" s="159">
        <f t="shared" si="431"/>
        <v>117005588.74000004</v>
      </c>
      <c r="BZ112" s="159">
        <f t="shared" si="432"/>
        <v>92497822.25</v>
      </c>
      <c r="CA112" s="158">
        <f t="shared" si="433"/>
        <v>97873987.862500012</v>
      </c>
      <c r="CB112" s="157">
        <f t="shared" si="434"/>
        <v>95519288.420000017</v>
      </c>
      <c r="CC112" s="144"/>
      <c r="CD112" s="158">
        <f t="shared" si="435"/>
        <v>94800218.981710911</v>
      </c>
      <c r="CE112" s="159">
        <f t="shared" si="435"/>
        <v>107588204.99415267</v>
      </c>
      <c r="CF112" s="159">
        <f t="shared" si="435"/>
        <v>123697477.67624798</v>
      </c>
      <c r="CG112" s="159">
        <f t="shared" si="436"/>
        <v>92497822.25</v>
      </c>
      <c r="CH112" s="158">
        <f t="shared" si="437"/>
        <v>104645930.97552788</v>
      </c>
      <c r="CI112" s="157">
        <f t="shared" si="438"/>
        <v>101194211.98793179</v>
      </c>
      <c r="CK112" s="61">
        <f t="shared" si="439"/>
        <v>0.1348940556235303</v>
      </c>
      <c r="CL112" s="62">
        <f t="shared" si="439"/>
        <v>0.14973084347834265</v>
      </c>
      <c r="CM112" s="63">
        <f t="shared" si="439"/>
        <v>-0.25222547793501893</v>
      </c>
      <c r="CN112" s="61">
        <f t="shared" si="381"/>
        <v>-2.4286829254635989E-2</v>
      </c>
      <c r="CO112" s="29"/>
      <c r="CP112" s="61">
        <f t="shared" si="440"/>
        <v>3.9935996368601526E-2</v>
      </c>
      <c r="CQ112" s="62">
        <f t="shared" si="440"/>
        <v>4.6325891995587766E-2</v>
      </c>
      <c r="CR112" s="63">
        <f t="shared" si="440"/>
        <v>5.1368254569928933E-2</v>
      </c>
      <c r="CS112" s="61">
        <f t="shared" si="440"/>
        <v>3.8218554032713709E-2</v>
      </c>
      <c r="CU112" s="60">
        <f t="shared" si="441"/>
        <v>100</v>
      </c>
      <c r="CV112" s="132">
        <f t="shared" si="441"/>
        <v>113.48940556235303</v>
      </c>
      <c r="CW112" s="132">
        <f t="shared" si="441"/>
        <v>130.48226998305984</v>
      </c>
      <c r="CX112" s="131">
        <f t="shared" si="441"/>
        <v>97.571317074536395</v>
      </c>
    </row>
    <row r="113" spans="1:102">
      <c r="A113" s="29">
        <v>661</v>
      </c>
      <c r="B113" s="29" t="s">
        <v>6</v>
      </c>
      <c r="C113" s="55" t="s">
        <v>140</v>
      </c>
      <c r="D113" s="56">
        <v>0</v>
      </c>
      <c r="E113" s="57">
        <f>VLOOKUP(A113,AuxOPEXSaneparOriginal!$B$4:$F$177,3,0)</f>
        <v>0</v>
      </c>
      <c r="F113" s="156">
        <f>VLOOKUP(A113,AuxOPEXSaneparOriginal!$B$4:$F$177,4,0)</f>
        <v>0</v>
      </c>
      <c r="G113" s="57">
        <f>VLOOKUP(A113,AuxOPEXSaneparOriginal!$B$4:$K$177,8,0)</f>
        <v>0</v>
      </c>
      <c r="H113" s="156">
        <f>VLOOKUP(A113,AuxOPEXSaneparOriginal!$B$4:$K$177,9,0)</f>
        <v>0</v>
      </c>
      <c r="I113" s="57">
        <f>VLOOKUP(A113,AuxOPEXSaneparOriginal!$B$4:$N$177,13,0)</f>
        <v>142782</v>
      </c>
      <c r="J113" s="57">
        <f>VLOOKUP(A113,AuxOPEXSaneparOriginal!$B$4:$Q$177,16,0)</f>
        <v>0</v>
      </c>
      <c r="K113" s="57">
        <f>VLOOKUP(A113,AuxOPEXSaneparOriginal!$B$4:$V$177,21,0)</f>
        <v>0</v>
      </c>
      <c r="L113" s="157">
        <f t="shared" si="413"/>
        <v>142782</v>
      </c>
      <c r="M113" s="19">
        <f>VLOOKUP(A113,AuxOPEXSaneparOriginal!$B$4:$AB$177,27,0)</f>
        <v>0</v>
      </c>
      <c r="N113" s="156">
        <f>VLOOKUP(A113,AuxOPEXSaneparOriginal!$B$4:$AC$177,28,0)</f>
        <v>0</v>
      </c>
      <c r="O113" s="156">
        <f>VLOOKUP(A113,AuxOPEXSaneparOriginal!$B$4:$AD$177,29,0)</f>
        <v>0</v>
      </c>
      <c r="P113" s="156">
        <f>VLOOKUP(A113,AuxOPEXSaneparOriginal!$B$4:$AE$177,30,0)</f>
        <v>0</v>
      </c>
      <c r="Q113" s="146">
        <f>VLOOKUP(A113,AuxOPEXSaneparOriginal!$B$4:$AF$177,31,0)</f>
        <v>0</v>
      </c>
      <c r="R113" s="146">
        <f>VLOOKUP(A113,AuxOPEXSaneparOriginal!$B$4:$AG$177,32,0)</f>
        <v>0</v>
      </c>
      <c r="S113" s="146">
        <f>VLOOKUP(A113,AuxOPEXSaneparOriginal!$B$4:$AH$177,33,0)</f>
        <v>0</v>
      </c>
      <c r="T113" s="157">
        <f t="shared" si="414"/>
        <v>0</v>
      </c>
      <c r="U113" s="156">
        <f>VLOOKUP(A113,AuxOPEXSaneparOriginal!$B$4:$AI$177,34,0)</f>
        <v>0</v>
      </c>
      <c r="V113" s="156">
        <f>VLOOKUP(A113,AuxOPEXSaneparOriginal!$B$4:$AJ$177,35,0)</f>
        <v>0</v>
      </c>
      <c r="W113" s="156">
        <f>VLOOKUP(A113,AuxOPEXSaneparOriginal!$B$4:$AK$177,36,0)</f>
        <v>0</v>
      </c>
      <c r="X113" s="19">
        <f>+VLOOKUP(A113,AuxOPEXSaneparOriginal!$B$4:$AL$177,37,0)</f>
        <v>0</v>
      </c>
      <c r="Y113" s="146">
        <f>VLOOKUP(A113,AuxOPEXSaneparOriginal!$B$4:$AM$177,38,0)</f>
        <v>0</v>
      </c>
      <c r="Z113" s="146">
        <f>VLOOKUP(A113,AuxOPEXSaneparOriginal!$B$4:$AN$177,39,0)</f>
        <v>0</v>
      </c>
      <c r="AA113" s="146">
        <f>VLOOKUP(A113,AuxOPEXSaneparOriginal!$B$4:$AO$177,40,0)</f>
        <v>0</v>
      </c>
      <c r="AB113" s="157">
        <f t="shared" si="415"/>
        <v>0</v>
      </c>
      <c r="AC113" s="156">
        <f>VLOOKUP(A113,AuxOPEXSaneparOriginal!$B$4:$AP$177,41,0)</f>
        <v>0</v>
      </c>
      <c r="AD113" s="156">
        <f>+VLOOKUP(A113,AuxOPEXSaneparOriginal!$B$4:$AQ$177,42,0)</f>
        <v>0</v>
      </c>
      <c r="AE113" s="156">
        <f>VLOOKUP(A113,AuxOPEXSaneparOriginal!$B$4:$AR$177,43,0)</f>
        <v>0</v>
      </c>
      <c r="AF113" s="156">
        <f>+VLOOKUP(A113,AuxOPEXSaneparOriginal!$B$4:$AS$177,44,0)</f>
        <v>0</v>
      </c>
      <c r="AG113" s="146">
        <f>VLOOKUP(A113,AuxOPEXSaneparOriginal!$B$4:$AT$177,45,0)</f>
        <v>0</v>
      </c>
      <c r="AH113" s="146">
        <f>VLOOKUP(A113,AuxOPEXSaneparOriginal!$B$4:$AU$177,46,0)</f>
        <v>0</v>
      </c>
      <c r="AI113" s="146">
        <f>VLOOKUP(A113,AuxOPEXSaneparOriginal!$B$4:$AV$177,47,0)</f>
        <v>0</v>
      </c>
      <c r="AJ113" s="157">
        <f t="shared" si="416"/>
        <v>0</v>
      </c>
      <c r="AK113" s="157">
        <f t="shared" si="417"/>
        <v>35695.5</v>
      </c>
      <c r="AL113" s="157">
        <f t="shared" si="418"/>
        <v>0</v>
      </c>
      <c r="AM113" s="144"/>
      <c r="AN113" s="167">
        <f t="shared" si="419"/>
        <v>0</v>
      </c>
      <c r="AO113" s="168">
        <f t="shared" si="419"/>
        <v>0</v>
      </c>
      <c r="AP113" s="57">
        <f t="shared" si="419"/>
        <v>0</v>
      </c>
      <c r="AQ113" s="57">
        <f t="shared" si="419"/>
        <v>0</v>
      </c>
      <c r="AR113" s="57">
        <f t="shared" si="419"/>
        <v>142782</v>
      </c>
      <c r="AS113" s="57">
        <f t="shared" si="419"/>
        <v>0</v>
      </c>
      <c r="AT113" s="57">
        <f t="shared" si="419"/>
        <v>0</v>
      </c>
      <c r="AU113" s="157">
        <f t="shared" si="420"/>
        <v>142782</v>
      </c>
      <c r="AV113" s="57">
        <f t="shared" si="421"/>
        <v>0</v>
      </c>
      <c r="AW113" s="57">
        <f t="shared" si="421"/>
        <v>0</v>
      </c>
      <c r="AX113" s="57">
        <f t="shared" si="421"/>
        <v>0</v>
      </c>
      <c r="AY113" s="57">
        <f t="shared" si="421"/>
        <v>0</v>
      </c>
      <c r="AZ113" s="57">
        <f t="shared" si="421"/>
        <v>0</v>
      </c>
      <c r="BA113" s="57">
        <f t="shared" si="421"/>
        <v>0</v>
      </c>
      <c r="BB113" s="57">
        <f t="shared" si="421"/>
        <v>0</v>
      </c>
      <c r="BC113" s="157">
        <f t="shared" si="422"/>
        <v>0</v>
      </c>
      <c r="BD113" s="57">
        <f t="shared" si="423"/>
        <v>0</v>
      </c>
      <c r="BE113" s="57">
        <f t="shared" si="423"/>
        <v>0</v>
      </c>
      <c r="BF113" s="57">
        <f t="shared" si="423"/>
        <v>0</v>
      </c>
      <c r="BG113" s="57">
        <f t="shared" si="423"/>
        <v>0</v>
      </c>
      <c r="BH113" s="57">
        <f t="shared" si="423"/>
        <v>0</v>
      </c>
      <c r="BI113" s="57">
        <f t="shared" si="423"/>
        <v>0</v>
      </c>
      <c r="BJ113" s="57">
        <f t="shared" si="423"/>
        <v>0</v>
      </c>
      <c r="BK113" s="157">
        <f t="shared" si="424"/>
        <v>0</v>
      </c>
      <c r="BL113" s="57">
        <f t="shared" si="425"/>
        <v>0</v>
      </c>
      <c r="BM113" s="57">
        <f t="shared" si="425"/>
        <v>0</v>
      </c>
      <c r="BN113" s="57">
        <f t="shared" si="425"/>
        <v>0</v>
      </c>
      <c r="BO113" s="57">
        <f t="shared" si="425"/>
        <v>0</v>
      </c>
      <c r="BP113" s="57">
        <f t="shared" si="425"/>
        <v>0</v>
      </c>
      <c r="BQ113" s="57">
        <f t="shared" si="425"/>
        <v>0</v>
      </c>
      <c r="BR113" s="57">
        <f t="shared" si="425"/>
        <v>0</v>
      </c>
      <c r="BS113" s="157">
        <f t="shared" si="426"/>
        <v>0</v>
      </c>
      <c r="BT113" s="157">
        <f t="shared" si="427"/>
        <v>35695.5</v>
      </c>
      <c r="BU113" s="157">
        <f t="shared" si="428"/>
        <v>0</v>
      </c>
      <c r="BV113" s="144"/>
      <c r="BW113" s="158">
        <f t="shared" si="429"/>
        <v>142782</v>
      </c>
      <c r="BX113" s="159">
        <f t="shared" si="430"/>
        <v>0</v>
      </c>
      <c r="BY113" s="159">
        <f t="shared" si="431"/>
        <v>0</v>
      </c>
      <c r="BZ113" s="159">
        <f t="shared" si="432"/>
        <v>0</v>
      </c>
      <c r="CA113" s="158">
        <f t="shared" si="433"/>
        <v>35695.5</v>
      </c>
      <c r="CB113" s="157">
        <f t="shared" si="434"/>
        <v>0</v>
      </c>
      <c r="CC113" s="144"/>
      <c r="CD113" s="158">
        <f t="shared" si="435"/>
        <v>162198.62433779999</v>
      </c>
      <c r="CE113" s="159">
        <f t="shared" si="435"/>
        <v>0</v>
      </c>
      <c r="CF113" s="159">
        <f t="shared" si="435"/>
        <v>0</v>
      </c>
      <c r="CG113" s="159">
        <f t="shared" si="436"/>
        <v>0</v>
      </c>
      <c r="CH113" s="158">
        <f t="shared" si="437"/>
        <v>40549.656084449998</v>
      </c>
      <c r="CI113" s="157">
        <f t="shared" si="438"/>
        <v>0</v>
      </c>
      <c r="CK113" s="61">
        <f t="shared" si="439"/>
        <v>-1</v>
      </c>
      <c r="CL113" s="62">
        <f t="shared" si="439"/>
        <v>0</v>
      </c>
      <c r="CM113" s="63">
        <f t="shared" si="439"/>
        <v>0</v>
      </c>
      <c r="CN113" s="61">
        <f t="shared" si="381"/>
        <v>-1</v>
      </c>
      <c r="CO113" s="29"/>
      <c r="CP113" s="61">
        <f t="shared" si="440"/>
        <v>6.8328572888594393E-5</v>
      </c>
      <c r="CQ113" s="62">
        <f t="shared" si="440"/>
        <v>0</v>
      </c>
      <c r="CR113" s="63">
        <f t="shared" si="440"/>
        <v>0</v>
      </c>
      <c r="CS113" s="61">
        <f t="shared" si="440"/>
        <v>0</v>
      </c>
      <c r="CU113" s="60">
        <f t="shared" si="441"/>
        <v>100</v>
      </c>
      <c r="CV113" s="132">
        <f t="shared" si="441"/>
        <v>0</v>
      </c>
      <c r="CW113" s="132">
        <f t="shared" si="441"/>
        <v>0</v>
      </c>
      <c r="CX113" s="131">
        <f t="shared" si="441"/>
        <v>0</v>
      </c>
    </row>
    <row r="114" spans="1:102">
      <c r="A114" s="29">
        <v>662</v>
      </c>
      <c r="B114" s="29" t="s">
        <v>6</v>
      </c>
      <c r="C114" s="55" t="s">
        <v>119</v>
      </c>
      <c r="D114" s="56">
        <v>0</v>
      </c>
      <c r="E114" s="57">
        <f>VLOOKUP(A114,AuxOPEXSaneparOriginal!$B$4:$F$177,3,0)</f>
        <v>18757013.899999999</v>
      </c>
      <c r="F114" s="156">
        <f>VLOOKUP(A114,AuxOPEXSaneparOriginal!$B$4:$F$177,4,0)</f>
        <v>743045.66</v>
      </c>
      <c r="G114" s="57">
        <f>VLOOKUP(A114,AuxOPEXSaneparOriginal!$B$4:$K$177,8,0)</f>
        <v>0</v>
      </c>
      <c r="H114" s="156">
        <f>VLOOKUP(A114,AuxOPEXSaneparOriginal!$B$4:$K$177,9,0)</f>
        <v>2948044</v>
      </c>
      <c r="I114" s="57">
        <f>VLOOKUP(A114,AuxOPEXSaneparOriginal!$B$4:$N$177,13,0)</f>
        <v>0</v>
      </c>
      <c r="J114" s="57">
        <f>VLOOKUP(A114,AuxOPEXSaneparOriginal!$B$4:$Q$177,16,0)</f>
        <v>0</v>
      </c>
      <c r="K114" s="57">
        <f>VLOOKUP(A114,AuxOPEXSaneparOriginal!$B$4:$V$177,21,0)</f>
        <v>0</v>
      </c>
      <c r="L114" s="157">
        <f t="shared" si="413"/>
        <v>22448103.559999999</v>
      </c>
      <c r="M114" s="19">
        <f>VLOOKUP(A114,AuxOPEXSaneparOriginal!$B$4:$AB$177,27,0)</f>
        <v>17898192.27</v>
      </c>
      <c r="N114" s="156">
        <f>VLOOKUP(A114,AuxOPEXSaneparOriginal!$B$4:$AC$177,28,0)</f>
        <v>787060.91999999993</v>
      </c>
      <c r="O114" s="156">
        <f>VLOOKUP(A114,AuxOPEXSaneparOriginal!$B$4:$AD$177,29,0)</f>
        <v>0</v>
      </c>
      <c r="P114" s="156">
        <f>VLOOKUP(A114,AuxOPEXSaneparOriginal!$B$4:$AE$177,30,0)</f>
        <v>3138399.5</v>
      </c>
      <c r="Q114" s="146">
        <f>VLOOKUP(A114,AuxOPEXSaneparOriginal!$B$4:$AF$177,31,0)</f>
        <v>0</v>
      </c>
      <c r="R114" s="146">
        <f>VLOOKUP(A114,AuxOPEXSaneparOriginal!$B$4:$AG$177,32,0)</f>
        <v>0</v>
      </c>
      <c r="S114" s="146">
        <f>VLOOKUP(A114,AuxOPEXSaneparOriginal!$B$4:$AH$177,33,0)</f>
        <v>0</v>
      </c>
      <c r="T114" s="157">
        <f t="shared" si="414"/>
        <v>21823652.689999998</v>
      </c>
      <c r="U114" s="156">
        <f>VLOOKUP(A114,AuxOPEXSaneparOriginal!$B$4:$AI$177,34,0)</f>
        <v>18888536.769999996</v>
      </c>
      <c r="V114" s="156">
        <f>VLOOKUP(A114,AuxOPEXSaneparOriginal!$B$4:$AJ$177,35,0)</f>
        <v>964144.11</v>
      </c>
      <c r="W114" s="156">
        <f>VLOOKUP(A114,AuxOPEXSaneparOriginal!$B$4:$AK$177,36,0)</f>
        <v>0</v>
      </c>
      <c r="X114" s="19">
        <f>+VLOOKUP(A114,AuxOPEXSaneparOriginal!$B$4:$AL$177,37,0)</f>
        <v>4266562.9000000004</v>
      </c>
      <c r="Y114" s="146">
        <f>VLOOKUP(A114,AuxOPEXSaneparOriginal!$B$4:$AM$177,38,0)</f>
        <v>0</v>
      </c>
      <c r="Z114" s="146">
        <f>VLOOKUP(A114,AuxOPEXSaneparOriginal!$B$4:$AN$177,39,0)</f>
        <v>0</v>
      </c>
      <c r="AA114" s="146">
        <f>VLOOKUP(A114,AuxOPEXSaneparOriginal!$B$4:$AO$177,40,0)</f>
        <v>0</v>
      </c>
      <c r="AB114" s="157">
        <f t="shared" si="415"/>
        <v>24119243.779999994</v>
      </c>
      <c r="AC114" s="156">
        <f>VLOOKUP(A114,AuxOPEXSaneparOriginal!$B$4:$AP$177,41,0)</f>
        <v>24661806.050000031</v>
      </c>
      <c r="AD114" s="156">
        <f>+VLOOKUP(A114,AuxOPEXSaneparOriginal!$B$4:$AQ$177,42,0)</f>
        <v>1674602.0200000005</v>
      </c>
      <c r="AE114" s="156">
        <f>VLOOKUP(A114,AuxOPEXSaneparOriginal!$B$4:$AR$177,43,0)</f>
        <v>0</v>
      </c>
      <c r="AF114" s="156">
        <f>+VLOOKUP(A114,AuxOPEXSaneparOriginal!$B$4:$AS$177,44,0)</f>
        <v>5857097.0600000015</v>
      </c>
      <c r="AG114" s="146">
        <f>VLOOKUP(A114,AuxOPEXSaneparOriginal!$B$4:$AT$177,45,0)</f>
        <v>0</v>
      </c>
      <c r="AH114" s="146">
        <f>VLOOKUP(A114,AuxOPEXSaneparOriginal!$B$4:$AU$177,46,0)</f>
        <v>0</v>
      </c>
      <c r="AI114" s="146">
        <f>VLOOKUP(A114,AuxOPEXSaneparOriginal!$B$4:$AV$177,47,0)</f>
        <v>0</v>
      </c>
      <c r="AJ114" s="157">
        <f t="shared" si="416"/>
        <v>32193505.130000032</v>
      </c>
      <c r="AK114" s="157">
        <f t="shared" si="417"/>
        <v>25146126.290000007</v>
      </c>
      <c r="AL114" s="157">
        <f t="shared" si="418"/>
        <v>28156374.455000013</v>
      </c>
      <c r="AM114" s="144"/>
      <c r="AN114" s="167">
        <f t="shared" si="419"/>
        <v>18757013.899999999</v>
      </c>
      <c r="AO114" s="168">
        <f t="shared" si="419"/>
        <v>743045.66</v>
      </c>
      <c r="AP114" s="57">
        <f t="shared" si="419"/>
        <v>0</v>
      </c>
      <c r="AQ114" s="57">
        <f t="shared" si="419"/>
        <v>2948044</v>
      </c>
      <c r="AR114" s="57">
        <f t="shared" si="419"/>
        <v>0</v>
      </c>
      <c r="AS114" s="57">
        <f t="shared" si="419"/>
        <v>0</v>
      </c>
      <c r="AT114" s="57">
        <f t="shared" si="419"/>
        <v>0</v>
      </c>
      <c r="AU114" s="157">
        <f t="shared" si="420"/>
        <v>22448103.559999999</v>
      </c>
      <c r="AV114" s="57">
        <f t="shared" si="421"/>
        <v>17898192.27</v>
      </c>
      <c r="AW114" s="57">
        <f t="shared" si="421"/>
        <v>787060.91999999993</v>
      </c>
      <c r="AX114" s="57">
        <f t="shared" si="421"/>
        <v>0</v>
      </c>
      <c r="AY114" s="57">
        <f t="shared" si="421"/>
        <v>3138399.5</v>
      </c>
      <c r="AZ114" s="57">
        <f t="shared" si="421"/>
        <v>0</v>
      </c>
      <c r="BA114" s="57">
        <f t="shared" si="421"/>
        <v>0</v>
      </c>
      <c r="BB114" s="57">
        <f t="shared" si="421"/>
        <v>0</v>
      </c>
      <c r="BC114" s="157">
        <f t="shared" si="422"/>
        <v>21823652.689999998</v>
      </c>
      <c r="BD114" s="57">
        <f t="shared" si="423"/>
        <v>18888536.769999996</v>
      </c>
      <c r="BE114" s="57">
        <f t="shared" si="423"/>
        <v>964144.11</v>
      </c>
      <c r="BF114" s="57">
        <f t="shared" si="423"/>
        <v>0</v>
      </c>
      <c r="BG114" s="57">
        <f t="shared" si="423"/>
        <v>4266562.9000000004</v>
      </c>
      <c r="BH114" s="57">
        <f t="shared" si="423"/>
        <v>0</v>
      </c>
      <c r="BI114" s="57">
        <f t="shared" si="423"/>
        <v>0</v>
      </c>
      <c r="BJ114" s="57">
        <f t="shared" si="423"/>
        <v>0</v>
      </c>
      <c r="BK114" s="157">
        <f t="shared" si="424"/>
        <v>24119243.779999994</v>
      </c>
      <c r="BL114" s="57">
        <f t="shared" si="425"/>
        <v>24661806.050000031</v>
      </c>
      <c r="BM114" s="57">
        <f t="shared" si="425"/>
        <v>1674602.0200000005</v>
      </c>
      <c r="BN114" s="57">
        <f t="shared" si="425"/>
        <v>0</v>
      </c>
      <c r="BO114" s="57">
        <f t="shared" si="425"/>
        <v>5857097.0600000015</v>
      </c>
      <c r="BP114" s="57">
        <f t="shared" si="425"/>
        <v>0</v>
      </c>
      <c r="BQ114" s="57">
        <f t="shared" si="425"/>
        <v>0</v>
      </c>
      <c r="BR114" s="57">
        <f t="shared" si="425"/>
        <v>0</v>
      </c>
      <c r="BS114" s="157">
        <f t="shared" si="426"/>
        <v>32193505.130000032</v>
      </c>
      <c r="BT114" s="157">
        <f t="shared" si="427"/>
        <v>25146126.290000007</v>
      </c>
      <c r="BU114" s="157">
        <f t="shared" si="428"/>
        <v>28156374.455000013</v>
      </c>
      <c r="BV114" s="144"/>
      <c r="BW114" s="158">
        <f t="shared" si="429"/>
        <v>22448103.559999999</v>
      </c>
      <c r="BX114" s="159">
        <f t="shared" si="430"/>
        <v>21823652.689999998</v>
      </c>
      <c r="BY114" s="159">
        <f t="shared" si="431"/>
        <v>24119243.779999994</v>
      </c>
      <c r="BZ114" s="159">
        <f t="shared" si="432"/>
        <v>32193505.130000032</v>
      </c>
      <c r="CA114" s="158">
        <f t="shared" si="433"/>
        <v>25146126.290000007</v>
      </c>
      <c r="CB114" s="157">
        <f t="shared" si="434"/>
        <v>23283673.669999994</v>
      </c>
      <c r="CC114" s="144"/>
      <c r="CD114" s="158">
        <f t="shared" si="435"/>
        <v>25500774.022106919</v>
      </c>
      <c r="CE114" s="159">
        <f t="shared" si="435"/>
        <v>23827376.085175466</v>
      </c>
      <c r="CF114" s="159">
        <f t="shared" si="435"/>
        <v>25498693.277585156</v>
      </c>
      <c r="CG114" s="159">
        <f t="shared" si="436"/>
        <v>32193505.130000032</v>
      </c>
      <c r="CH114" s="158">
        <f t="shared" si="437"/>
        <v>26755087.128716893</v>
      </c>
      <c r="CI114" s="157">
        <f t="shared" si="438"/>
        <v>25499733.64984604</v>
      </c>
      <c r="CK114" s="61">
        <f t="shared" si="439"/>
        <v>-6.5621456646012599E-2</v>
      </c>
      <c r="CL114" s="62">
        <f t="shared" si="439"/>
        <v>7.0142729372938639E-2</v>
      </c>
      <c r="CM114" s="63">
        <f t="shared" si="439"/>
        <v>0.26255509564876434</v>
      </c>
      <c r="CN114" s="61">
        <f t="shared" si="381"/>
        <v>0.26245207702680351</v>
      </c>
      <c r="CO114" s="29"/>
      <c r="CP114" s="61">
        <f t="shared" si="440"/>
        <v>1.0742578758598248E-2</v>
      </c>
      <c r="CQ114" s="62">
        <f t="shared" si="440"/>
        <v>1.0259716212572573E-2</v>
      </c>
      <c r="CR114" s="63">
        <f t="shared" si="440"/>
        <v>1.0588925433966534E-2</v>
      </c>
      <c r="CS114" s="61">
        <f t="shared" si="440"/>
        <v>1.3301818198356038E-2</v>
      </c>
      <c r="CU114" s="60">
        <f t="shared" si="441"/>
        <v>100</v>
      </c>
      <c r="CV114" s="132">
        <f t="shared" si="441"/>
        <v>93.43785433539874</v>
      </c>
      <c r="CW114" s="132">
        <f t="shared" si="441"/>
        <v>99.99184046523466</v>
      </c>
      <c r="CX114" s="131">
        <f t="shared" si="441"/>
        <v>126.24520770268035</v>
      </c>
    </row>
    <row r="115" spans="1:102">
      <c r="A115" s="29">
        <v>670</v>
      </c>
      <c r="B115" s="29" t="s">
        <v>6</v>
      </c>
      <c r="C115" s="55" t="s">
        <v>141</v>
      </c>
      <c r="D115" s="56">
        <v>0</v>
      </c>
      <c r="E115" s="57">
        <f>VLOOKUP(A115,AuxOPEXSaneparOriginal!$B$4:$F$177,3,0)</f>
        <v>75687.86</v>
      </c>
      <c r="F115" s="156">
        <f>VLOOKUP(A115,AuxOPEXSaneparOriginal!$B$4:$F$177,4,0)</f>
        <v>50134.48</v>
      </c>
      <c r="G115" s="57">
        <f>VLOOKUP(A115,AuxOPEXSaneparOriginal!$B$4:$K$177,8,0)</f>
        <v>55899.67</v>
      </c>
      <c r="H115" s="156">
        <f>VLOOKUP(A115,AuxOPEXSaneparOriginal!$B$4:$K$177,9,0)</f>
        <v>55648.51</v>
      </c>
      <c r="I115" s="57">
        <f>VLOOKUP(A115,AuxOPEXSaneparOriginal!$B$4:$N$177,13,0)</f>
        <v>0</v>
      </c>
      <c r="J115" s="57">
        <f>VLOOKUP(A115,AuxOPEXSaneparOriginal!$B$4:$Q$177,16,0)</f>
        <v>0</v>
      </c>
      <c r="K115" s="57">
        <f>VLOOKUP(A115,AuxOPEXSaneparOriginal!$B$4:$V$177,21,0)</f>
        <v>0</v>
      </c>
      <c r="L115" s="157">
        <f t="shared" si="413"/>
        <v>237370.52000000002</v>
      </c>
      <c r="M115" s="19">
        <f>VLOOKUP(A115,AuxOPEXSaneparOriginal!$B$4:$AB$177,27,0)</f>
        <v>0</v>
      </c>
      <c r="N115" s="156">
        <f>VLOOKUP(A115,AuxOPEXSaneparOriginal!$B$4:$AC$177,28,0)</f>
        <v>4243.7599999999993</v>
      </c>
      <c r="O115" s="156">
        <f>VLOOKUP(A115,AuxOPEXSaneparOriginal!$B$4:$AD$177,29,0)</f>
        <v>9172.52</v>
      </c>
      <c r="P115" s="156">
        <f>VLOOKUP(A115,AuxOPEXSaneparOriginal!$B$4:$AE$177,30,0)</f>
        <v>0</v>
      </c>
      <c r="Q115" s="146">
        <f>VLOOKUP(A115,AuxOPEXSaneparOriginal!$B$4:$AF$177,31,0)</f>
        <v>0</v>
      </c>
      <c r="R115" s="146">
        <f>VLOOKUP(A115,AuxOPEXSaneparOriginal!$B$4:$AG$177,32,0)</f>
        <v>0</v>
      </c>
      <c r="S115" s="146">
        <f>VLOOKUP(A115,AuxOPEXSaneparOriginal!$B$4:$AH$177,33,0)</f>
        <v>0</v>
      </c>
      <c r="T115" s="157">
        <f t="shared" si="414"/>
        <v>13416.279999999999</v>
      </c>
      <c r="U115" s="156">
        <f>VLOOKUP(A115,AuxOPEXSaneparOriginal!$B$4:$AI$177,34,0)</f>
        <v>0</v>
      </c>
      <c r="V115" s="156">
        <f>VLOOKUP(A115,AuxOPEXSaneparOriginal!$B$4:$AJ$177,35,0)</f>
        <v>0</v>
      </c>
      <c r="W115" s="156">
        <f>VLOOKUP(A115,AuxOPEXSaneparOriginal!$B$4:$AK$177,36,0)</f>
        <v>0</v>
      </c>
      <c r="X115" s="19">
        <f>+VLOOKUP(A115,AuxOPEXSaneparOriginal!$B$4:$AL$177,37,0)</f>
        <v>0</v>
      </c>
      <c r="Y115" s="146">
        <f>VLOOKUP(A115,AuxOPEXSaneparOriginal!$B$4:$AM$177,38,0)</f>
        <v>0</v>
      </c>
      <c r="Z115" s="146">
        <f>VLOOKUP(A115,AuxOPEXSaneparOriginal!$B$4:$AN$177,39,0)</f>
        <v>0</v>
      </c>
      <c r="AA115" s="146">
        <f>VLOOKUP(A115,AuxOPEXSaneparOriginal!$B$4:$AO$177,40,0)</f>
        <v>0</v>
      </c>
      <c r="AB115" s="157">
        <f t="shared" si="415"/>
        <v>0</v>
      </c>
      <c r="AC115" s="156">
        <f>VLOOKUP(A115,AuxOPEXSaneparOriginal!$B$4:$AP$177,41,0)</f>
        <v>0</v>
      </c>
      <c r="AD115" s="156">
        <f>+VLOOKUP(A115,AuxOPEXSaneparOriginal!$B$4:$AQ$177,42,0)</f>
        <v>11041.33</v>
      </c>
      <c r="AE115" s="156">
        <f>VLOOKUP(A115,AuxOPEXSaneparOriginal!$B$4:$AR$177,43,0)</f>
        <v>0</v>
      </c>
      <c r="AF115" s="156">
        <f>+VLOOKUP(A115,AuxOPEXSaneparOriginal!$B$4:$AS$177,44,0)</f>
        <v>0</v>
      </c>
      <c r="AG115" s="146">
        <f>VLOOKUP(A115,AuxOPEXSaneparOriginal!$B$4:$AT$177,45,0)</f>
        <v>0</v>
      </c>
      <c r="AH115" s="146">
        <f>VLOOKUP(A115,AuxOPEXSaneparOriginal!$B$4:$AU$177,46,0)</f>
        <v>0</v>
      </c>
      <c r="AI115" s="146">
        <f>VLOOKUP(A115,AuxOPEXSaneparOriginal!$B$4:$AV$177,47,0)</f>
        <v>0</v>
      </c>
      <c r="AJ115" s="157">
        <f t="shared" si="416"/>
        <v>11041.33</v>
      </c>
      <c r="AK115" s="157">
        <f t="shared" si="417"/>
        <v>65457.032500000001</v>
      </c>
      <c r="AL115" s="157">
        <f t="shared" si="418"/>
        <v>5520.665</v>
      </c>
      <c r="AM115" s="144"/>
      <c r="AN115" s="167">
        <f t="shared" si="419"/>
        <v>75687.86</v>
      </c>
      <c r="AO115" s="168">
        <f t="shared" si="419"/>
        <v>50134.48</v>
      </c>
      <c r="AP115" s="57">
        <f t="shared" si="419"/>
        <v>55899.67</v>
      </c>
      <c r="AQ115" s="57">
        <f t="shared" si="419"/>
        <v>55648.51</v>
      </c>
      <c r="AR115" s="57">
        <f t="shared" si="419"/>
        <v>0</v>
      </c>
      <c r="AS115" s="57">
        <f t="shared" si="419"/>
        <v>0</v>
      </c>
      <c r="AT115" s="57">
        <f t="shared" si="419"/>
        <v>0</v>
      </c>
      <c r="AU115" s="157">
        <f t="shared" si="420"/>
        <v>237370.52000000002</v>
      </c>
      <c r="AV115" s="57">
        <f t="shared" si="421"/>
        <v>0</v>
      </c>
      <c r="AW115" s="57">
        <f t="shared" si="421"/>
        <v>4243.7599999999993</v>
      </c>
      <c r="AX115" s="57">
        <f t="shared" si="421"/>
        <v>9172.52</v>
      </c>
      <c r="AY115" s="57">
        <f t="shared" si="421"/>
        <v>0</v>
      </c>
      <c r="AZ115" s="57">
        <f t="shared" si="421"/>
        <v>0</v>
      </c>
      <c r="BA115" s="57">
        <f t="shared" si="421"/>
        <v>0</v>
      </c>
      <c r="BB115" s="57">
        <f t="shared" si="421"/>
        <v>0</v>
      </c>
      <c r="BC115" s="157">
        <f t="shared" si="422"/>
        <v>13416.279999999999</v>
      </c>
      <c r="BD115" s="57">
        <f t="shared" si="423"/>
        <v>0</v>
      </c>
      <c r="BE115" s="57">
        <f t="shared" si="423"/>
        <v>0</v>
      </c>
      <c r="BF115" s="57">
        <f t="shared" si="423"/>
        <v>0</v>
      </c>
      <c r="BG115" s="57">
        <f t="shared" si="423"/>
        <v>0</v>
      </c>
      <c r="BH115" s="57">
        <f t="shared" si="423"/>
        <v>0</v>
      </c>
      <c r="BI115" s="57">
        <f t="shared" si="423"/>
        <v>0</v>
      </c>
      <c r="BJ115" s="57">
        <f t="shared" si="423"/>
        <v>0</v>
      </c>
      <c r="BK115" s="157">
        <f t="shared" si="424"/>
        <v>0</v>
      </c>
      <c r="BL115" s="57">
        <f t="shared" si="425"/>
        <v>0</v>
      </c>
      <c r="BM115" s="57">
        <f t="shared" si="425"/>
        <v>11041.33</v>
      </c>
      <c r="BN115" s="57">
        <f t="shared" si="425"/>
        <v>0</v>
      </c>
      <c r="BO115" s="57">
        <f t="shared" si="425"/>
        <v>0</v>
      </c>
      <c r="BP115" s="57">
        <f t="shared" si="425"/>
        <v>0</v>
      </c>
      <c r="BQ115" s="57">
        <f t="shared" si="425"/>
        <v>0</v>
      </c>
      <c r="BR115" s="57">
        <f t="shared" si="425"/>
        <v>0</v>
      </c>
      <c r="BS115" s="157">
        <f t="shared" si="426"/>
        <v>11041.33</v>
      </c>
      <c r="BT115" s="157">
        <f t="shared" si="427"/>
        <v>65457.032500000001</v>
      </c>
      <c r="BU115" s="157">
        <f t="shared" si="428"/>
        <v>5520.665</v>
      </c>
      <c r="BV115" s="144"/>
      <c r="BW115" s="158">
        <f t="shared" si="429"/>
        <v>237370.52000000002</v>
      </c>
      <c r="BX115" s="159">
        <f t="shared" si="430"/>
        <v>13416.279999999999</v>
      </c>
      <c r="BY115" s="159">
        <f t="shared" si="431"/>
        <v>0</v>
      </c>
      <c r="BZ115" s="159">
        <f t="shared" si="432"/>
        <v>11041.33</v>
      </c>
      <c r="CA115" s="158">
        <f t="shared" si="433"/>
        <v>65457.032500000001</v>
      </c>
      <c r="CB115" s="157">
        <f t="shared" si="434"/>
        <v>12228.805</v>
      </c>
      <c r="CC115" s="144"/>
      <c r="CD115" s="158">
        <f t="shared" si="435"/>
        <v>269650.03853670799</v>
      </c>
      <c r="CE115" s="159">
        <f t="shared" si="435"/>
        <v>14648.086356803999</v>
      </c>
      <c r="CF115" s="159">
        <f t="shared" si="435"/>
        <v>0</v>
      </c>
      <c r="CG115" s="159">
        <f t="shared" si="436"/>
        <v>11041.33</v>
      </c>
      <c r="CH115" s="158">
        <f t="shared" si="437"/>
        <v>73834.863723378003</v>
      </c>
      <c r="CI115" s="157">
        <f t="shared" si="438"/>
        <v>12844.708178401999</v>
      </c>
      <c r="CK115" s="61">
        <f t="shared" si="439"/>
        <v>-0.94567741789953452</v>
      </c>
      <c r="CL115" s="62">
        <f t="shared" si="439"/>
        <v>-1</v>
      </c>
      <c r="CM115" s="63">
        <f t="shared" si="439"/>
        <v>0</v>
      </c>
      <c r="CN115" s="61">
        <f t="shared" si="381"/>
        <v>-0.95905311172986563</v>
      </c>
      <c r="CO115" s="29"/>
      <c r="CP115" s="61">
        <f t="shared" si="440"/>
        <v>1.1359407262416518E-4</v>
      </c>
      <c r="CQ115" s="62">
        <f t="shared" si="440"/>
        <v>6.3072496333982464E-6</v>
      </c>
      <c r="CR115" s="63">
        <f t="shared" si="440"/>
        <v>0</v>
      </c>
      <c r="CS115" s="61">
        <f t="shared" si="440"/>
        <v>4.5620929977951215E-6</v>
      </c>
      <c r="CU115" s="60">
        <f t="shared" si="441"/>
        <v>100</v>
      </c>
      <c r="CV115" s="132">
        <f t="shared" si="441"/>
        <v>5.4322582100465482</v>
      </c>
      <c r="CW115" s="132">
        <f t="shared" si="441"/>
        <v>0</v>
      </c>
      <c r="CX115" s="131">
        <f t="shared" si="441"/>
        <v>4.0946888270134343</v>
      </c>
    </row>
    <row r="116" spans="1:102">
      <c r="A116" s="29">
        <v>671</v>
      </c>
      <c r="B116" s="29" t="s">
        <v>6</v>
      </c>
      <c r="C116" s="55" t="s">
        <v>142</v>
      </c>
      <c r="D116" s="56">
        <v>0</v>
      </c>
      <c r="E116" s="57">
        <f>VLOOKUP(A116,AuxOPEXSaneparOriginal!$B$4:$F$177,3,0)</f>
        <v>0</v>
      </c>
      <c r="F116" s="156">
        <f>VLOOKUP(A116,AuxOPEXSaneparOriginal!$B$4:$F$177,4,0)</f>
        <v>0</v>
      </c>
      <c r="G116" s="57">
        <f>VLOOKUP(A116,AuxOPEXSaneparOriginal!$B$4:$K$177,8,0)</f>
        <v>0</v>
      </c>
      <c r="H116" s="156">
        <f>VLOOKUP(A116,AuxOPEXSaneparOriginal!$B$4:$K$177,9,0)</f>
        <v>0</v>
      </c>
      <c r="I116" s="57">
        <f>VLOOKUP(A116,AuxOPEXSaneparOriginal!$B$4:$N$177,13,0)</f>
        <v>0</v>
      </c>
      <c r="J116" s="57">
        <f>VLOOKUP(A116,AuxOPEXSaneparOriginal!$B$4:$Q$177,16,0)</f>
        <v>0</v>
      </c>
      <c r="K116" s="57">
        <f>VLOOKUP(A116,AuxOPEXSaneparOriginal!$B$4:$V$177,21,0)</f>
        <v>0</v>
      </c>
      <c r="L116" s="157">
        <f t="shared" si="413"/>
        <v>0</v>
      </c>
      <c r="M116" s="19">
        <f>VLOOKUP(A116,AuxOPEXSaneparOriginal!$B$4:$AB$177,27,0)</f>
        <v>83006.679999999964</v>
      </c>
      <c r="N116" s="156">
        <f>VLOOKUP(A116,AuxOPEXSaneparOriginal!$B$4:$AC$177,28,0)</f>
        <v>0</v>
      </c>
      <c r="O116" s="156">
        <f>VLOOKUP(A116,AuxOPEXSaneparOriginal!$B$4:$AD$177,29,0)</f>
        <v>0</v>
      </c>
      <c r="P116" s="156">
        <f>VLOOKUP(A116,AuxOPEXSaneparOriginal!$B$4:$AE$177,30,0)</f>
        <v>0</v>
      </c>
      <c r="Q116" s="146">
        <f>VLOOKUP(A116,AuxOPEXSaneparOriginal!$B$4:$AF$177,31,0)</f>
        <v>0</v>
      </c>
      <c r="R116" s="146">
        <f>VLOOKUP(A116,AuxOPEXSaneparOriginal!$B$4:$AG$177,32,0)</f>
        <v>0</v>
      </c>
      <c r="S116" s="146">
        <f>VLOOKUP(A116,AuxOPEXSaneparOriginal!$B$4:$AH$177,33,0)</f>
        <v>0</v>
      </c>
      <c r="T116" s="157">
        <f t="shared" si="414"/>
        <v>83006.679999999964</v>
      </c>
      <c r="U116" s="156">
        <f>VLOOKUP(A116,AuxOPEXSaneparOriginal!$B$4:$AI$177,34,0)</f>
        <v>113357.34999999999</v>
      </c>
      <c r="V116" s="156">
        <f>VLOOKUP(A116,AuxOPEXSaneparOriginal!$B$4:$AJ$177,35,0)</f>
        <v>0</v>
      </c>
      <c r="W116" s="156">
        <f>VLOOKUP(A116,AuxOPEXSaneparOriginal!$B$4:$AK$177,36,0)</f>
        <v>0</v>
      </c>
      <c r="X116" s="19">
        <f>+VLOOKUP(A116,AuxOPEXSaneparOriginal!$B$4:$AL$177,37,0)</f>
        <v>16968.580000000002</v>
      </c>
      <c r="Y116" s="146">
        <f>VLOOKUP(A116,AuxOPEXSaneparOriginal!$B$4:$AM$177,38,0)</f>
        <v>0</v>
      </c>
      <c r="Z116" s="146">
        <f>VLOOKUP(A116,AuxOPEXSaneparOriginal!$B$4:$AN$177,39,0)</f>
        <v>0</v>
      </c>
      <c r="AA116" s="146">
        <f>VLOOKUP(A116,AuxOPEXSaneparOriginal!$B$4:$AO$177,40,0)</f>
        <v>0</v>
      </c>
      <c r="AB116" s="157">
        <f t="shared" si="415"/>
        <v>130325.93</v>
      </c>
      <c r="AC116" s="156">
        <f>VLOOKUP(A116,AuxOPEXSaneparOriginal!$B$4:$AP$177,41,0)</f>
        <v>80004.89999999998</v>
      </c>
      <c r="AD116" s="156">
        <f>+VLOOKUP(A116,AuxOPEXSaneparOriginal!$B$4:$AQ$177,42,0)</f>
        <v>0</v>
      </c>
      <c r="AE116" s="156">
        <f>VLOOKUP(A116,AuxOPEXSaneparOriginal!$B$4:$AR$177,43,0)</f>
        <v>0</v>
      </c>
      <c r="AF116" s="156">
        <f>+VLOOKUP(A116,AuxOPEXSaneparOriginal!$B$4:$AS$177,44,0)</f>
        <v>0</v>
      </c>
      <c r="AG116" s="146">
        <f>VLOOKUP(A116,AuxOPEXSaneparOriginal!$B$4:$AT$177,45,0)</f>
        <v>0</v>
      </c>
      <c r="AH116" s="146">
        <f>VLOOKUP(A116,AuxOPEXSaneparOriginal!$B$4:$AU$177,46,0)</f>
        <v>0</v>
      </c>
      <c r="AI116" s="146">
        <f>VLOOKUP(A116,AuxOPEXSaneparOriginal!$B$4:$AV$177,47,0)</f>
        <v>0</v>
      </c>
      <c r="AJ116" s="157">
        <f t="shared" si="416"/>
        <v>80004.89999999998</v>
      </c>
      <c r="AK116" s="157">
        <f t="shared" si="417"/>
        <v>73334.377499999973</v>
      </c>
      <c r="AL116" s="157">
        <f t="shared" si="418"/>
        <v>105165.41499999998</v>
      </c>
      <c r="AM116" s="144"/>
      <c r="AN116" s="167">
        <f t="shared" si="419"/>
        <v>0</v>
      </c>
      <c r="AO116" s="168">
        <f t="shared" si="419"/>
        <v>0</v>
      </c>
      <c r="AP116" s="57">
        <f t="shared" si="419"/>
        <v>0</v>
      </c>
      <c r="AQ116" s="57">
        <f t="shared" si="419"/>
        <v>0</v>
      </c>
      <c r="AR116" s="57">
        <f t="shared" si="419"/>
        <v>0</v>
      </c>
      <c r="AS116" s="57">
        <f t="shared" si="419"/>
        <v>0</v>
      </c>
      <c r="AT116" s="57">
        <f t="shared" si="419"/>
        <v>0</v>
      </c>
      <c r="AU116" s="157">
        <f t="shared" si="420"/>
        <v>0</v>
      </c>
      <c r="AV116" s="57">
        <f t="shared" si="421"/>
        <v>83006.679999999964</v>
      </c>
      <c r="AW116" s="57">
        <f t="shared" si="421"/>
        <v>0</v>
      </c>
      <c r="AX116" s="57">
        <f t="shared" si="421"/>
        <v>0</v>
      </c>
      <c r="AY116" s="57">
        <f t="shared" si="421"/>
        <v>0</v>
      </c>
      <c r="AZ116" s="57">
        <f t="shared" si="421"/>
        <v>0</v>
      </c>
      <c r="BA116" s="57">
        <f t="shared" si="421"/>
        <v>0</v>
      </c>
      <c r="BB116" s="57">
        <f t="shared" si="421"/>
        <v>0</v>
      </c>
      <c r="BC116" s="157">
        <f t="shared" si="422"/>
        <v>83006.679999999964</v>
      </c>
      <c r="BD116" s="57">
        <f t="shared" si="423"/>
        <v>113357.34999999999</v>
      </c>
      <c r="BE116" s="57">
        <f t="shared" si="423"/>
        <v>0</v>
      </c>
      <c r="BF116" s="57">
        <f t="shared" si="423"/>
        <v>0</v>
      </c>
      <c r="BG116" s="57">
        <f t="shared" si="423"/>
        <v>16968.580000000002</v>
      </c>
      <c r="BH116" s="57">
        <f t="shared" si="423"/>
        <v>0</v>
      </c>
      <c r="BI116" s="57">
        <f t="shared" si="423"/>
        <v>0</v>
      </c>
      <c r="BJ116" s="57">
        <f t="shared" si="423"/>
        <v>0</v>
      </c>
      <c r="BK116" s="157">
        <f t="shared" si="424"/>
        <v>130325.93</v>
      </c>
      <c r="BL116" s="57">
        <f t="shared" si="425"/>
        <v>80004.89999999998</v>
      </c>
      <c r="BM116" s="57">
        <f t="shared" si="425"/>
        <v>0</v>
      </c>
      <c r="BN116" s="57">
        <f t="shared" si="425"/>
        <v>0</v>
      </c>
      <c r="BO116" s="57">
        <f t="shared" si="425"/>
        <v>0</v>
      </c>
      <c r="BP116" s="57">
        <f t="shared" si="425"/>
        <v>0</v>
      </c>
      <c r="BQ116" s="57">
        <f t="shared" si="425"/>
        <v>0</v>
      </c>
      <c r="BR116" s="57">
        <f t="shared" si="425"/>
        <v>0</v>
      </c>
      <c r="BS116" s="157">
        <f t="shared" si="426"/>
        <v>80004.89999999998</v>
      </c>
      <c r="BT116" s="157">
        <f t="shared" si="427"/>
        <v>73334.377499999973</v>
      </c>
      <c r="BU116" s="157">
        <f t="shared" si="428"/>
        <v>105165.41499999998</v>
      </c>
      <c r="BV116" s="144"/>
      <c r="BW116" s="158">
        <f t="shared" si="429"/>
        <v>0</v>
      </c>
      <c r="BX116" s="159">
        <f t="shared" si="430"/>
        <v>83006.679999999964</v>
      </c>
      <c r="BY116" s="159">
        <f t="shared" si="431"/>
        <v>130325.93</v>
      </c>
      <c r="BZ116" s="159">
        <f t="shared" si="432"/>
        <v>80004.89999999998</v>
      </c>
      <c r="CA116" s="158">
        <f t="shared" si="433"/>
        <v>73334.377499999988</v>
      </c>
      <c r="CB116" s="157">
        <f t="shared" si="434"/>
        <v>81505.789999999979</v>
      </c>
      <c r="CC116" s="144"/>
      <c r="CD116" s="158">
        <f t="shared" si="435"/>
        <v>0</v>
      </c>
      <c r="CE116" s="159">
        <f t="shared" si="435"/>
        <v>90627.880219523955</v>
      </c>
      <c r="CF116" s="159">
        <f t="shared" si="435"/>
        <v>137779.64788189699</v>
      </c>
      <c r="CG116" s="159">
        <f t="shared" si="436"/>
        <v>80004.89999999998</v>
      </c>
      <c r="CH116" s="158">
        <f t="shared" si="437"/>
        <v>77103.107025355232</v>
      </c>
      <c r="CI116" s="157">
        <f t="shared" si="438"/>
        <v>85316.390109761967</v>
      </c>
      <c r="CK116" s="61">
        <f t="shared" si="439"/>
        <v>0</v>
      </c>
      <c r="CL116" s="62">
        <f t="shared" si="439"/>
        <v>0.52027883194618885</v>
      </c>
      <c r="CM116" s="63">
        <f t="shared" si="439"/>
        <v>-0.41932715586137081</v>
      </c>
      <c r="CN116" s="61">
        <f t="shared" si="381"/>
        <v>0</v>
      </c>
      <c r="CO116" s="29"/>
      <c r="CP116" s="61">
        <f t="shared" si="440"/>
        <v>0</v>
      </c>
      <c r="CQ116" s="62">
        <f t="shared" si="440"/>
        <v>3.9023026651173451E-5</v>
      </c>
      <c r="CR116" s="63">
        <f t="shared" si="440"/>
        <v>5.721620327195608E-5</v>
      </c>
      <c r="CS116" s="61">
        <f t="shared" si="440"/>
        <v>3.3056687380895134E-5</v>
      </c>
      <c r="CU116" s="60">
        <f t="shared" si="441"/>
        <v>0</v>
      </c>
      <c r="CV116" s="132">
        <f t="shared" si="441"/>
        <v>0</v>
      </c>
      <c r="CW116" s="132">
        <f t="shared" si="441"/>
        <v>0</v>
      </c>
      <c r="CX116" s="131">
        <f t="shared" si="441"/>
        <v>0</v>
      </c>
    </row>
    <row r="117" spans="1:102">
      <c r="A117" s="214">
        <v>410</v>
      </c>
      <c r="B117" s="214" t="s">
        <v>6</v>
      </c>
      <c r="C117" s="215" t="s">
        <v>146</v>
      </c>
      <c r="D117" s="216">
        <v>1</v>
      </c>
      <c r="E117" s="57">
        <f>VLOOKUP(A117,AuxOPEXSaneparOriginal!$B$4:$F$177,3,0)</f>
        <v>0</v>
      </c>
      <c r="F117" s="156">
        <f>VLOOKUP(A117,AuxOPEXSaneparOriginal!$B$4:$F$177,4,0)</f>
        <v>0</v>
      </c>
      <c r="G117" s="57">
        <f>VLOOKUP(A117,AuxOPEXSaneparOriginal!$B$4:$K$177,8,0)</f>
        <v>0</v>
      </c>
      <c r="H117" s="156">
        <f>VLOOKUP(A117,AuxOPEXSaneparOriginal!$B$4:$K$177,9,0)</f>
        <v>0</v>
      </c>
      <c r="I117" s="57">
        <f>VLOOKUP(A117,AuxOPEXSaneparOriginal!$B$4:$N$177,13,0)</f>
        <v>0</v>
      </c>
      <c r="J117" s="57">
        <f>VLOOKUP(A117,AuxOPEXSaneparOriginal!$B$4:$Q$177,16,0)</f>
        <v>0</v>
      </c>
      <c r="K117" s="57">
        <f>VLOOKUP(A117,AuxOPEXSaneparOriginal!$B$4:$V$177,21,0)</f>
        <v>0</v>
      </c>
      <c r="L117" s="157">
        <f t="shared" ref="L117:L148" si="442">SUM(E117:K117)</f>
        <v>0</v>
      </c>
      <c r="M117" s="19">
        <f>VLOOKUP(A117,AuxOPEXSaneparOriginal!$B$4:$AB$177,27,0)</f>
        <v>0</v>
      </c>
      <c r="N117" s="156">
        <f>VLOOKUP(A117,AuxOPEXSaneparOriginal!$B$4:$AC$177,28,0)</f>
        <v>0</v>
      </c>
      <c r="O117" s="156">
        <f>VLOOKUP(A117,AuxOPEXSaneparOriginal!$B$4:$AD$177,29,0)</f>
        <v>0</v>
      </c>
      <c r="P117" s="156">
        <f>VLOOKUP(A117,AuxOPEXSaneparOriginal!$B$4:$AE$177,30,0)</f>
        <v>0</v>
      </c>
      <c r="Q117" s="146">
        <f>VLOOKUP(A117,AuxOPEXSaneparOriginal!$B$4:$AF$177,31,0)</f>
        <v>0</v>
      </c>
      <c r="R117" s="146">
        <f>VLOOKUP(A117,AuxOPEXSaneparOriginal!$B$4:$AG$177,32,0)</f>
        <v>0</v>
      </c>
      <c r="S117" s="146">
        <f>VLOOKUP(A117,AuxOPEXSaneparOriginal!$B$4:$AH$177,33,0)</f>
        <v>0</v>
      </c>
      <c r="T117" s="157">
        <f t="shared" ref="T117:T148" si="443">SUM(M117:S117)</f>
        <v>0</v>
      </c>
      <c r="U117" s="156">
        <f>VLOOKUP(A117,AuxOPEXSaneparOriginal!$B$4:$AI$177,34,0)</f>
        <v>0</v>
      </c>
      <c r="V117" s="156">
        <f>VLOOKUP(A117,AuxOPEXSaneparOriginal!$B$4:$AJ$177,35,0)</f>
        <v>0</v>
      </c>
      <c r="W117" s="156">
        <f>VLOOKUP(A117,AuxOPEXSaneparOriginal!$B$4:$AK$177,36,0)</f>
        <v>0</v>
      </c>
      <c r="X117" s="19">
        <f>+VLOOKUP(A117,AuxOPEXSaneparOriginal!$B$4:$AL$177,37,0)</f>
        <v>0</v>
      </c>
      <c r="Y117" s="146">
        <f>VLOOKUP(A117,AuxOPEXSaneparOriginal!$B$4:$AM$177,38,0)</f>
        <v>0</v>
      </c>
      <c r="Z117" s="146">
        <f>VLOOKUP(A117,AuxOPEXSaneparOriginal!$B$4:$AN$177,39,0)</f>
        <v>12441.28</v>
      </c>
      <c r="AA117" s="146">
        <f>VLOOKUP(A117,AuxOPEXSaneparOriginal!$B$4:$AO$177,40,0)</f>
        <v>0</v>
      </c>
      <c r="AB117" s="157">
        <f t="shared" ref="AB117:AB148" si="444">SUM(U117:AA117)</f>
        <v>12441.28</v>
      </c>
      <c r="AC117" s="156">
        <f>VLOOKUP(A117,AuxOPEXSaneparOriginal!$B$4:$AP$177,41,0)</f>
        <v>0</v>
      </c>
      <c r="AD117" s="156">
        <f>+VLOOKUP(A117,AuxOPEXSaneparOriginal!$B$4:$AQ$177,42,0)</f>
        <v>0</v>
      </c>
      <c r="AE117" s="156">
        <f>VLOOKUP(A117,AuxOPEXSaneparOriginal!$B$4:$AR$177,43,0)</f>
        <v>0</v>
      </c>
      <c r="AF117" s="156">
        <f>+VLOOKUP(A117,AuxOPEXSaneparOriginal!$B$4:$AS$177,44,0)</f>
        <v>0</v>
      </c>
      <c r="AG117" s="146">
        <f>VLOOKUP(A117,AuxOPEXSaneparOriginal!$B$4:$AT$177,45,0)</f>
        <v>0</v>
      </c>
      <c r="AH117" s="146">
        <f>VLOOKUP(A117,AuxOPEXSaneparOriginal!$B$4:$AU$177,46,0)</f>
        <v>0</v>
      </c>
      <c r="AI117" s="146">
        <f>VLOOKUP(A117,AuxOPEXSaneparOriginal!$B$4:$AV$177,47,0)</f>
        <v>0</v>
      </c>
      <c r="AJ117" s="157">
        <f t="shared" ref="AJ117:AJ148" si="445">SUM(AC117:AI117)</f>
        <v>0</v>
      </c>
      <c r="AK117" s="157">
        <f t="shared" si="342"/>
        <v>3110.32</v>
      </c>
      <c r="AL117" s="157">
        <f t="shared" si="343"/>
        <v>6220.64</v>
      </c>
      <c r="AM117" s="144"/>
      <c r="AN117" s="167">
        <f t="shared" si="290"/>
        <v>0</v>
      </c>
      <c r="AO117" s="168">
        <f t="shared" si="291"/>
        <v>0</v>
      </c>
      <c r="AP117" s="57">
        <f t="shared" si="292"/>
        <v>0</v>
      </c>
      <c r="AQ117" s="57">
        <f t="shared" si="293"/>
        <v>0</v>
      </c>
      <c r="AR117" s="57">
        <f t="shared" si="294"/>
        <v>0</v>
      </c>
      <c r="AS117" s="57">
        <f t="shared" si="295"/>
        <v>0</v>
      </c>
      <c r="AT117" s="57">
        <f t="shared" si="296"/>
        <v>0</v>
      </c>
      <c r="AU117" s="157">
        <f t="shared" ref="AU117:AU165" si="446">SUM(AN117:AT117)</f>
        <v>0</v>
      </c>
      <c r="AV117" s="57">
        <f t="shared" ref="AV117:AV165" si="447">M117*(1-$D117)</f>
        <v>0</v>
      </c>
      <c r="AW117" s="57">
        <f t="shared" ref="AW117:AW165" si="448">N117*(1-$D117)</f>
        <v>0</v>
      </c>
      <c r="AX117" s="57">
        <f t="shared" ref="AX117:AX165" si="449">O117*(1-$D117)</f>
        <v>0</v>
      </c>
      <c r="AY117" s="57">
        <f t="shared" ref="AY117:AY165" si="450">P117*(1-$D117)</f>
        <v>0</v>
      </c>
      <c r="AZ117" s="57">
        <f t="shared" ref="AZ117:AZ165" si="451">Q117*(1-$D117)</f>
        <v>0</v>
      </c>
      <c r="BA117" s="57">
        <f t="shared" ref="BA117:BA165" si="452">R117*(1-$D117)</f>
        <v>0</v>
      </c>
      <c r="BB117" s="57">
        <f t="shared" ref="BB117:BB165" si="453">S117*(1-$D117)</f>
        <v>0</v>
      </c>
      <c r="BC117" s="157">
        <f t="shared" ref="BC117:BC165" si="454">SUM(AV117:BB117)</f>
        <v>0</v>
      </c>
      <c r="BD117" s="57">
        <f t="shared" ref="BD117:BD165" si="455">U117*(1-$D117)</f>
        <v>0</v>
      </c>
      <c r="BE117" s="57">
        <f t="shared" ref="BE117:BE165" si="456">V117*(1-$D117)</f>
        <v>0</v>
      </c>
      <c r="BF117" s="57">
        <f t="shared" ref="BF117:BF165" si="457">W117*(1-$D117)</f>
        <v>0</v>
      </c>
      <c r="BG117" s="57">
        <f t="shared" ref="BG117:BG165" si="458">X117*(1-$D117)</f>
        <v>0</v>
      </c>
      <c r="BH117" s="57">
        <f t="shared" ref="BH117:BH165" si="459">Y117*(1-$D117)</f>
        <v>0</v>
      </c>
      <c r="BI117" s="57">
        <f t="shared" ref="BI117:BI165" si="460">Z117*(1-$D117)</f>
        <v>0</v>
      </c>
      <c r="BJ117" s="57">
        <f t="shared" ref="BJ117:BJ165" si="461">AA117*(1-$D117)</f>
        <v>0</v>
      </c>
      <c r="BK117" s="157">
        <f t="shared" ref="BK117:BK165" si="462">SUM(BD117:BJ117)</f>
        <v>0</v>
      </c>
      <c r="BL117" s="57">
        <f t="shared" ref="BL117:BL165" si="463">AC117*(1-$D117)</f>
        <v>0</v>
      </c>
      <c r="BM117" s="57">
        <f t="shared" ref="BM117:BM165" si="464">AD117*(1-$D117)</f>
        <v>0</v>
      </c>
      <c r="BN117" s="57">
        <f t="shared" ref="BN117:BN165" si="465">AE117*(1-$D117)</f>
        <v>0</v>
      </c>
      <c r="BO117" s="57">
        <f t="shared" ref="BO117:BO165" si="466">AF117*(1-$D117)</f>
        <v>0</v>
      </c>
      <c r="BP117" s="57">
        <f t="shared" ref="BP117:BP165" si="467">AG117*(1-$D117)</f>
        <v>0</v>
      </c>
      <c r="BQ117" s="57">
        <f t="shared" ref="BQ117:BQ165" si="468">AH117*(1-$D117)</f>
        <v>0</v>
      </c>
      <c r="BR117" s="57">
        <f t="shared" ref="BR117:BR165" si="469">AI117*(1-$D117)</f>
        <v>0</v>
      </c>
      <c r="BS117" s="157">
        <f t="shared" ref="BS117:BS165" si="470">SUM(BL117:BR117)</f>
        <v>0</v>
      </c>
      <c r="BT117" s="157">
        <f t="shared" si="344"/>
        <v>0</v>
      </c>
      <c r="BU117" s="157">
        <f t="shared" si="345"/>
        <v>0</v>
      </c>
      <c r="BV117" s="144"/>
      <c r="BW117" s="158">
        <f t="shared" ref="BW117:BW148" si="471">L117*(1-$D117)</f>
        <v>0</v>
      </c>
      <c r="BX117" s="159">
        <f t="shared" ref="BX117:BX148" si="472">T117*(1-$D117)</f>
        <v>0</v>
      </c>
      <c r="BY117" s="159">
        <f t="shared" ref="BY117:BY148" si="473">AB117*(1-$D117)</f>
        <v>0</v>
      </c>
      <c r="BZ117" s="159">
        <f t="shared" ref="BZ117:BZ148" si="474">AJ117*(1-$D117)</f>
        <v>0</v>
      </c>
      <c r="CA117" s="158">
        <f t="shared" ref="CA117:CA165" si="475">AVERAGE(BW117:BZ117)</f>
        <v>0</v>
      </c>
      <c r="CB117" s="157">
        <f t="shared" ref="CB117:CB165" si="476">MEDIAN(BW117:BZ117)</f>
        <v>0</v>
      </c>
      <c r="CC117" s="144"/>
      <c r="CD117" s="158">
        <f t="shared" ref="CD117:CD148" si="477">+BW117*F$16</f>
        <v>0</v>
      </c>
      <c r="CE117" s="159">
        <f t="shared" ref="CE117:CE148" si="478">+BX117*G$16</f>
        <v>0</v>
      </c>
      <c r="CF117" s="159">
        <f t="shared" ref="CF117:CF148" si="479">+BY117*H$16</f>
        <v>0</v>
      </c>
      <c r="CG117" s="159">
        <f t="shared" si="331"/>
        <v>0</v>
      </c>
      <c r="CH117" s="158">
        <f t="shared" ref="CH117:CH139" si="480">AVERAGE(CD117:CG117)</f>
        <v>0</v>
      </c>
      <c r="CI117" s="157">
        <f t="shared" ref="CI117:CI165" si="481">MEDIAN(CD117:CG117)</f>
        <v>0</v>
      </c>
      <c r="CK117" s="61">
        <f t="shared" ref="CK117:CK164" si="482">IFERROR(+CE117/CD117-1,0)</f>
        <v>0</v>
      </c>
      <c r="CL117" s="62">
        <f t="shared" ref="CL117:CL165" si="483">IFERROR(+CF117/CE117-1,0)</f>
        <v>0</v>
      </c>
      <c r="CM117" s="63">
        <f t="shared" ref="CM117:CM165" si="484">IFERROR(+CG117/CF117-1,0)</f>
        <v>0</v>
      </c>
      <c r="CN117" s="61">
        <f t="shared" ref="CN117:CN165" si="485">IFERROR(+CG117/CD117-1,0)</f>
        <v>0</v>
      </c>
      <c r="CO117" s="29"/>
      <c r="CP117" s="61">
        <f t="shared" ref="CP117:CP148" si="486">+CD117/CD$177</f>
        <v>0</v>
      </c>
      <c r="CQ117" s="62">
        <f t="shared" ref="CQ117:CQ148" si="487">+CE117/CE$177</f>
        <v>0</v>
      </c>
      <c r="CR117" s="63">
        <f t="shared" ref="CR117:CR148" si="488">+CF117/CF$177</f>
        <v>0</v>
      </c>
      <c r="CS117" s="61">
        <f t="shared" ref="CS117:CS148" si="489">+CG117/CG$177</f>
        <v>0</v>
      </c>
      <c r="CU117" s="60">
        <f t="shared" si="346"/>
        <v>0</v>
      </c>
      <c r="CV117" s="132">
        <f t="shared" si="347"/>
        <v>0</v>
      </c>
      <c r="CW117" s="132">
        <f t="shared" si="348"/>
        <v>0</v>
      </c>
      <c r="CX117" s="131">
        <f t="shared" si="349"/>
        <v>0</v>
      </c>
    </row>
    <row r="118" spans="1:102">
      <c r="A118" s="29">
        <v>411</v>
      </c>
      <c r="B118" s="29" t="s">
        <v>6</v>
      </c>
      <c r="C118" s="55" t="s">
        <v>147</v>
      </c>
      <c r="D118" s="56">
        <v>0</v>
      </c>
      <c r="E118" s="57">
        <f>VLOOKUP(A118,AuxOPEXSaneparOriginal!$B$4:$F$177,3,0)</f>
        <v>900</v>
      </c>
      <c r="F118" s="156">
        <f>VLOOKUP(A118,AuxOPEXSaneparOriginal!$B$4:$F$177,4,0)</f>
        <v>0</v>
      </c>
      <c r="G118" s="57">
        <f>VLOOKUP(A118,AuxOPEXSaneparOriginal!$B$4:$K$177,8,0)</f>
        <v>0</v>
      </c>
      <c r="H118" s="156">
        <f>VLOOKUP(A118,AuxOPEXSaneparOriginal!$B$4:$K$177,9,0)</f>
        <v>0</v>
      </c>
      <c r="I118" s="57">
        <f>VLOOKUP(A118,AuxOPEXSaneparOriginal!$B$4:$N$177,13,0)</f>
        <v>15720</v>
      </c>
      <c r="J118" s="57">
        <f>VLOOKUP(A118,AuxOPEXSaneparOriginal!$B$4:$Q$177,16,0)</f>
        <v>6706424.0299999993</v>
      </c>
      <c r="K118" s="57">
        <f>VLOOKUP(A118,AuxOPEXSaneparOriginal!$B$4:$V$177,21,0)</f>
        <v>0</v>
      </c>
      <c r="L118" s="157">
        <f t="shared" si="442"/>
        <v>6723044.0299999993</v>
      </c>
      <c r="M118" s="19">
        <f>VLOOKUP(A118,AuxOPEXSaneparOriginal!$B$4:$AB$177,27,0)</f>
        <v>690</v>
      </c>
      <c r="N118" s="156">
        <f>VLOOKUP(A118,AuxOPEXSaneparOriginal!$B$4:$AC$177,28,0)</f>
        <v>0</v>
      </c>
      <c r="O118" s="156">
        <f>VLOOKUP(A118,AuxOPEXSaneparOriginal!$B$4:$AD$177,29,0)</f>
        <v>0</v>
      </c>
      <c r="P118" s="156">
        <f>VLOOKUP(A118,AuxOPEXSaneparOriginal!$B$4:$AE$177,30,0)</f>
        <v>0</v>
      </c>
      <c r="Q118" s="146">
        <f>VLOOKUP(A118,AuxOPEXSaneparOriginal!$B$4:$AF$177,31,0)</f>
        <v>0</v>
      </c>
      <c r="R118" s="146">
        <f>VLOOKUP(A118,AuxOPEXSaneparOriginal!$B$4:$AG$177,32,0)</f>
        <v>6316501.6799999997</v>
      </c>
      <c r="S118" s="146">
        <f>VLOOKUP(A118,AuxOPEXSaneparOriginal!$B$4:$AH$177,33,0)</f>
        <v>0</v>
      </c>
      <c r="T118" s="157">
        <f t="shared" si="443"/>
        <v>6317191.6799999997</v>
      </c>
      <c r="U118" s="156">
        <f>VLOOKUP(A118,AuxOPEXSaneparOriginal!$B$4:$AI$177,34,0)</f>
        <v>9450</v>
      </c>
      <c r="V118" s="156">
        <f>VLOOKUP(A118,AuxOPEXSaneparOriginal!$B$4:$AJ$177,35,0)</f>
        <v>8750</v>
      </c>
      <c r="W118" s="156">
        <f>VLOOKUP(A118,AuxOPEXSaneparOriginal!$B$4:$AK$177,36,0)</f>
        <v>0</v>
      </c>
      <c r="X118" s="19">
        <f>+VLOOKUP(A118,AuxOPEXSaneparOriginal!$B$4:$AL$177,37,0)</f>
        <v>0</v>
      </c>
      <c r="Y118" s="146">
        <f>VLOOKUP(A118,AuxOPEXSaneparOriginal!$B$4:$AM$177,38,0)</f>
        <v>8750</v>
      </c>
      <c r="Z118" s="146">
        <f>VLOOKUP(A118,AuxOPEXSaneparOriginal!$B$4:$AN$177,39,0)</f>
        <v>657416.54999999993</v>
      </c>
      <c r="AA118" s="146">
        <f>VLOOKUP(A118,AuxOPEXSaneparOriginal!$B$4:$AO$177,40,0)</f>
        <v>0</v>
      </c>
      <c r="AB118" s="157">
        <f t="shared" si="444"/>
        <v>684366.54999999993</v>
      </c>
      <c r="AC118" s="156">
        <f>VLOOKUP(A118,AuxOPEXSaneparOriginal!$B$4:$AP$177,41,0)</f>
        <v>2487.5</v>
      </c>
      <c r="AD118" s="156">
        <f>+VLOOKUP(A118,AuxOPEXSaneparOriginal!$B$4:$AQ$177,42,0)</f>
        <v>2487.5</v>
      </c>
      <c r="AE118" s="156">
        <f>VLOOKUP(A118,AuxOPEXSaneparOriginal!$B$4:$AR$177,43,0)</f>
        <v>0</v>
      </c>
      <c r="AF118" s="156">
        <f>+VLOOKUP(A118,AuxOPEXSaneparOriginal!$B$4:$AS$177,44,0)</f>
        <v>0</v>
      </c>
      <c r="AG118" s="146">
        <f>VLOOKUP(A118,AuxOPEXSaneparOriginal!$B$4:$AT$177,45,0)</f>
        <v>2487.5</v>
      </c>
      <c r="AH118" s="146">
        <f>VLOOKUP(A118,AuxOPEXSaneparOriginal!$B$4:$AU$177,46,0)</f>
        <v>53944.100000000006</v>
      </c>
      <c r="AI118" s="146">
        <f>VLOOKUP(A118,AuxOPEXSaneparOriginal!$B$4:$AV$177,47,0)</f>
        <v>0</v>
      </c>
      <c r="AJ118" s="157">
        <f t="shared" si="445"/>
        <v>61406.600000000006</v>
      </c>
      <c r="AK118" s="157">
        <f t="shared" si="342"/>
        <v>3446502.2149999999</v>
      </c>
      <c r="AL118" s="157">
        <f t="shared" si="343"/>
        <v>372886.57499999995</v>
      </c>
      <c r="AM118" s="144"/>
      <c r="AN118" s="167">
        <f t="shared" si="290"/>
        <v>900</v>
      </c>
      <c r="AO118" s="168">
        <f t="shared" si="291"/>
        <v>0</v>
      </c>
      <c r="AP118" s="57">
        <f t="shared" si="292"/>
        <v>0</v>
      </c>
      <c r="AQ118" s="57">
        <f t="shared" si="293"/>
        <v>0</v>
      </c>
      <c r="AR118" s="57">
        <f t="shared" si="294"/>
        <v>15720</v>
      </c>
      <c r="AS118" s="57">
        <f t="shared" si="295"/>
        <v>6706424.0299999993</v>
      </c>
      <c r="AT118" s="57">
        <f t="shared" si="296"/>
        <v>0</v>
      </c>
      <c r="AU118" s="157">
        <f t="shared" si="446"/>
        <v>6723044.0299999993</v>
      </c>
      <c r="AV118" s="57">
        <f t="shared" si="447"/>
        <v>690</v>
      </c>
      <c r="AW118" s="57">
        <f t="shared" si="448"/>
        <v>0</v>
      </c>
      <c r="AX118" s="57">
        <f t="shared" si="449"/>
        <v>0</v>
      </c>
      <c r="AY118" s="57">
        <f t="shared" si="450"/>
        <v>0</v>
      </c>
      <c r="AZ118" s="57">
        <f t="shared" si="451"/>
        <v>0</v>
      </c>
      <c r="BA118" s="57">
        <f t="shared" si="452"/>
        <v>6316501.6799999997</v>
      </c>
      <c r="BB118" s="57">
        <f t="shared" si="453"/>
        <v>0</v>
      </c>
      <c r="BC118" s="157">
        <f t="shared" si="454"/>
        <v>6317191.6799999997</v>
      </c>
      <c r="BD118" s="57">
        <f t="shared" si="455"/>
        <v>9450</v>
      </c>
      <c r="BE118" s="57">
        <f t="shared" si="456"/>
        <v>8750</v>
      </c>
      <c r="BF118" s="57">
        <f t="shared" si="457"/>
        <v>0</v>
      </c>
      <c r="BG118" s="57">
        <f t="shared" si="458"/>
        <v>0</v>
      </c>
      <c r="BH118" s="57">
        <f t="shared" si="459"/>
        <v>8750</v>
      </c>
      <c r="BI118" s="57">
        <f t="shared" si="460"/>
        <v>657416.54999999993</v>
      </c>
      <c r="BJ118" s="57">
        <f t="shared" si="461"/>
        <v>0</v>
      </c>
      <c r="BK118" s="157">
        <f t="shared" si="462"/>
        <v>684366.54999999993</v>
      </c>
      <c r="BL118" s="57">
        <f t="shared" si="463"/>
        <v>2487.5</v>
      </c>
      <c r="BM118" s="57">
        <f t="shared" si="464"/>
        <v>2487.5</v>
      </c>
      <c r="BN118" s="57">
        <f t="shared" si="465"/>
        <v>0</v>
      </c>
      <c r="BO118" s="57">
        <f t="shared" si="466"/>
        <v>0</v>
      </c>
      <c r="BP118" s="57">
        <f t="shared" si="467"/>
        <v>2487.5</v>
      </c>
      <c r="BQ118" s="57">
        <f t="shared" si="468"/>
        <v>53944.100000000006</v>
      </c>
      <c r="BR118" s="57">
        <f t="shared" si="469"/>
        <v>0</v>
      </c>
      <c r="BS118" s="157">
        <f t="shared" si="470"/>
        <v>61406.600000000006</v>
      </c>
      <c r="BT118" s="157">
        <f t="shared" si="344"/>
        <v>3446502.2149999999</v>
      </c>
      <c r="BU118" s="157">
        <f t="shared" si="345"/>
        <v>372886.57499999995</v>
      </c>
      <c r="BV118" s="144"/>
      <c r="BW118" s="158">
        <f t="shared" si="471"/>
        <v>6723044.0299999993</v>
      </c>
      <c r="BX118" s="159">
        <f t="shared" si="472"/>
        <v>6317191.6799999997</v>
      </c>
      <c r="BY118" s="159">
        <f t="shared" si="473"/>
        <v>684366.54999999993</v>
      </c>
      <c r="BZ118" s="159">
        <f t="shared" si="474"/>
        <v>61406.600000000006</v>
      </c>
      <c r="CA118" s="158">
        <f t="shared" si="475"/>
        <v>3446502.2149999999</v>
      </c>
      <c r="CB118" s="157">
        <f t="shared" si="476"/>
        <v>3500779.1149999998</v>
      </c>
      <c r="CC118" s="144"/>
      <c r="CD118" s="158">
        <f t="shared" si="477"/>
        <v>7637296.6692472361</v>
      </c>
      <c r="CE118" s="159">
        <f t="shared" si="478"/>
        <v>6897200.2120650234</v>
      </c>
      <c r="CF118" s="159">
        <f t="shared" si="479"/>
        <v>723507.45765749493</v>
      </c>
      <c r="CG118" s="159">
        <f t="shared" si="331"/>
        <v>61406.600000000006</v>
      </c>
      <c r="CH118" s="158">
        <f t="shared" si="480"/>
        <v>3829852.7347424384</v>
      </c>
      <c r="CI118" s="157">
        <f t="shared" si="481"/>
        <v>3810353.8348612594</v>
      </c>
      <c r="CK118" s="61">
        <f t="shared" si="482"/>
        <v>-9.6905553003109879E-2</v>
      </c>
      <c r="CL118" s="62">
        <f t="shared" si="483"/>
        <v>-0.89510128234469843</v>
      </c>
      <c r="CM118" s="63">
        <f t="shared" si="484"/>
        <v>-0.91512651410834578</v>
      </c>
      <c r="CN118" s="61">
        <f t="shared" si="485"/>
        <v>-0.99195964191789709</v>
      </c>
      <c r="CO118" s="29"/>
      <c r="CP118" s="61">
        <f t="shared" si="486"/>
        <v>3.2173243408628845E-3</v>
      </c>
      <c r="CQ118" s="62">
        <f t="shared" si="487"/>
        <v>2.969832539853555E-3</v>
      </c>
      <c r="CR118" s="63">
        <f t="shared" si="488"/>
        <v>3.0045329918096337E-4</v>
      </c>
      <c r="CS118" s="61">
        <f t="shared" si="489"/>
        <v>2.5372180695478349E-5</v>
      </c>
      <c r="CU118" s="60">
        <f t="shared" si="346"/>
        <v>100</v>
      </c>
      <c r="CV118" s="132">
        <f t="shared" si="347"/>
        <v>90.30944469968901</v>
      </c>
      <c r="CW118" s="132">
        <f t="shared" si="348"/>
        <v>9.4733449411597483</v>
      </c>
      <c r="CX118" s="131">
        <f t="shared" si="349"/>
        <v>0.80403580821029574</v>
      </c>
    </row>
    <row r="119" spans="1:102">
      <c r="A119" s="214">
        <v>420</v>
      </c>
      <c r="B119" s="214" t="s">
        <v>6</v>
      </c>
      <c r="C119" s="215" t="s">
        <v>148</v>
      </c>
      <c r="D119" s="216">
        <v>1</v>
      </c>
      <c r="E119" s="57">
        <f>VLOOKUP(A119,AuxOPEXSaneparOriginal!$B$4:$F$177,3,0)</f>
        <v>0</v>
      </c>
      <c r="F119" s="156">
        <f>VLOOKUP(A119,AuxOPEXSaneparOriginal!$B$4:$F$177,4,0)</f>
        <v>0</v>
      </c>
      <c r="G119" s="57">
        <f>VLOOKUP(A119,AuxOPEXSaneparOriginal!$B$4:$K$177,8,0)</f>
        <v>0</v>
      </c>
      <c r="H119" s="156">
        <f>VLOOKUP(A119,AuxOPEXSaneparOriginal!$B$4:$K$177,9,0)</f>
        <v>0</v>
      </c>
      <c r="I119" s="57">
        <f>VLOOKUP(A119,AuxOPEXSaneparOriginal!$B$4:$N$177,13,0)</f>
        <v>0</v>
      </c>
      <c r="J119" s="57">
        <f>VLOOKUP(A119,AuxOPEXSaneparOriginal!$B$4:$Q$177,16,0)</f>
        <v>0</v>
      </c>
      <c r="K119" s="57">
        <f>VLOOKUP(A119,AuxOPEXSaneparOriginal!$B$4:$V$177,21,0)</f>
        <v>0</v>
      </c>
      <c r="L119" s="157">
        <f t="shared" si="442"/>
        <v>0</v>
      </c>
      <c r="M119" s="19">
        <f>VLOOKUP(A119,AuxOPEXSaneparOriginal!$B$4:$AB$177,27,0)</f>
        <v>0</v>
      </c>
      <c r="N119" s="156">
        <f>VLOOKUP(A119,AuxOPEXSaneparOriginal!$B$4:$AC$177,28,0)</f>
        <v>0</v>
      </c>
      <c r="O119" s="156">
        <f>VLOOKUP(A119,AuxOPEXSaneparOriginal!$B$4:$AD$177,29,0)</f>
        <v>0</v>
      </c>
      <c r="P119" s="156">
        <f>VLOOKUP(A119,AuxOPEXSaneparOriginal!$B$4:$AE$177,30,0)</f>
        <v>0</v>
      </c>
      <c r="Q119" s="146">
        <f>VLOOKUP(A119,AuxOPEXSaneparOriginal!$B$4:$AF$177,31,0)</f>
        <v>0</v>
      </c>
      <c r="R119" s="146">
        <f>VLOOKUP(A119,AuxOPEXSaneparOriginal!$B$4:$AG$177,32,0)</f>
        <v>0</v>
      </c>
      <c r="S119" s="146">
        <f>VLOOKUP(A119,AuxOPEXSaneparOriginal!$B$4:$AH$177,33,0)</f>
        <v>0</v>
      </c>
      <c r="T119" s="157">
        <f t="shared" si="443"/>
        <v>0</v>
      </c>
      <c r="U119" s="156">
        <f>VLOOKUP(A119,AuxOPEXSaneparOriginal!$B$4:$AI$177,34,0)</f>
        <v>0</v>
      </c>
      <c r="V119" s="156">
        <f>VLOOKUP(A119,AuxOPEXSaneparOriginal!$B$4:$AJ$177,35,0)</f>
        <v>0</v>
      </c>
      <c r="W119" s="156">
        <f>VLOOKUP(A119,AuxOPEXSaneparOriginal!$B$4:$AK$177,36,0)</f>
        <v>0</v>
      </c>
      <c r="X119" s="19">
        <f>+VLOOKUP(A119,AuxOPEXSaneparOriginal!$B$4:$AL$177,37,0)</f>
        <v>0</v>
      </c>
      <c r="Y119" s="146">
        <f>VLOOKUP(A119,AuxOPEXSaneparOriginal!$B$4:$AM$177,38,0)</f>
        <v>0</v>
      </c>
      <c r="Z119" s="146">
        <f>VLOOKUP(A119,AuxOPEXSaneparOriginal!$B$4:$AN$177,39,0)</f>
        <v>2336627.5</v>
      </c>
      <c r="AA119" s="146">
        <f>VLOOKUP(A119,AuxOPEXSaneparOriginal!$B$4:$AO$177,40,0)</f>
        <v>0</v>
      </c>
      <c r="AB119" s="157">
        <f t="shared" si="444"/>
        <v>2336627.5</v>
      </c>
      <c r="AC119" s="156">
        <f>VLOOKUP(A119,AuxOPEXSaneparOriginal!$B$4:$AP$177,41,0)</f>
        <v>0</v>
      </c>
      <c r="AD119" s="156">
        <f>+VLOOKUP(A119,AuxOPEXSaneparOriginal!$B$4:$AQ$177,42,0)</f>
        <v>0</v>
      </c>
      <c r="AE119" s="156">
        <f>VLOOKUP(A119,AuxOPEXSaneparOriginal!$B$4:$AR$177,43,0)</f>
        <v>0</v>
      </c>
      <c r="AF119" s="156">
        <f>+VLOOKUP(A119,AuxOPEXSaneparOriginal!$B$4:$AS$177,44,0)</f>
        <v>0</v>
      </c>
      <c r="AG119" s="146">
        <f>VLOOKUP(A119,AuxOPEXSaneparOriginal!$B$4:$AT$177,45,0)</f>
        <v>0</v>
      </c>
      <c r="AH119" s="146">
        <f>VLOOKUP(A119,AuxOPEXSaneparOriginal!$B$4:$AU$177,46,0)</f>
        <v>1249507.03</v>
      </c>
      <c r="AI119" s="146">
        <f>VLOOKUP(A119,AuxOPEXSaneparOriginal!$B$4:$AV$177,47,0)</f>
        <v>0</v>
      </c>
      <c r="AJ119" s="157">
        <f t="shared" si="445"/>
        <v>1249507.03</v>
      </c>
      <c r="AK119" s="157">
        <f t="shared" si="342"/>
        <v>896533.63250000007</v>
      </c>
      <c r="AL119" s="157">
        <f t="shared" si="343"/>
        <v>1793067.2650000001</v>
      </c>
      <c r="AM119" s="144"/>
      <c r="AN119" s="167">
        <f t="shared" si="290"/>
        <v>0</v>
      </c>
      <c r="AO119" s="168">
        <f t="shared" si="291"/>
        <v>0</v>
      </c>
      <c r="AP119" s="57">
        <f t="shared" si="292"/>
        <v>0</v>
      </c>
      <c r="AQ119" s="57">
        <f t="shared" si="293"/>
        <v>0</v>
      </c>
      <c r="AR119" s="57">
        <f t="shared" si="294"/>
        <v>0</v>
      </c>
      <c r="AS119" s="57">
        <f t="shared" si="295"/>
        <v>0</v>
      </c>
      <c r="AT119" s="57">
        <f t="shared" si="296"/>
        <v>0</v>
      </c>
      <c r="AU119" s="157">
        <f t="shared" si="446"/>
        <v>0</v>
      </c>
      <c r="AV119" s="57">
        <f t="shared" si="447"/>
        <v>0</v>
      </c>
      <c r="AW119" s="57">
        <f t="shared" si="448"/>
        <v>0</v>
      </c>
      <c r="AX119" s="57">
        <f t="shared" si="449"/>
        <v>0</v>
      </c>
      <c r="AY119" s="57">
        <f t="shared" si="450"/>
        <v>0</v>
      </c>
      <c r="AZ119" s="57">
        <f t="shared" si="451"/>
        <v>0</v>
      </c>
      <c r="BA119" s="57">
        <f t="shared" si="452"/>
        <v>0</v>
      </c>
      <c r="BB119" s="57">
        <f t="shared" si="453"/>
        <v>0</v>
      </c>
      <c r="BC119" s="157">
        <f t="shared" si="454"/>
        <v>0</v>
      </c>
      <c r="BD119" s="57">
        <f t="shared" si="455"/>
        <v>0</v>
      </c>
      <c r="BE119" s="57">
        <f t="shared" si="456"/>
        <v>0</v>
      </c>
      <c r="BF119" s="57">
        <f t="shared" si="457"/>
        <v>0</v>
      </c>
      <c r="BG119" s="57">
        <f t="shared" si="458"/>
        <v>0</v>
      </c>
      <c r="BH119" s="57">
        <f t="shared" si="459"/>
        <v>0</v>
      </c>
      <c r="BI119" s="57">
        <f t="shared" si="460"/>
        <v>0</v>
      </c>
      <c r="BJ119" s="57">
        <f t="shared" si="461"/>
        <v>0</v>
      </c>
      <c r="BK119" s="157">
        <f t="shared" si="462"/>
        <v>0</v>
      </c>
      <c r="BL119" s="57">
        <f t="shared" si="463"/>
        <v>0</v>
      </c>
      <c r="BM119" s="57">
        <f t="shared" si="464"/>
        <v>0</v>
      </c>
      <c r="BN119" s="57">
        <f t="shared" si="465"/>
        <v>0</v>
      </c>
      <c r="BO119" s="57">
        <f t="shared" si="466"/>
        <v>0</v>
      </c>
      <c r="BP119" s="57">
        <f t="shared" si="467"/>
        <v>0</v>
      </c>
      <c r="BQ119" s="57">
        <f t="shared" si="468"/>
        <v>0</v>
      </c>
      <c r="BR119" s="57">
        <f t="shared" si="469"/>
        <v>0</v>
      </c>
      <c r="BS119" s="157">
        <f t="shared" si="470"/>
        <v>0</v>
      </c>
      <c r="BT119" s="157">
        <f t="shared" si="344"/>
        <v>0</v>
      </c>
      <c r="BU119" s="157">
        <f t="shared" si="345"/>
        <v>0</v>
      </c>
      <c r="BV119" s="144"/>
      <c r="BW119" s="158">
        <f t="shared" si="471"/>
        <v>0</v>
      </c>
      <c r="BX119" s="159">
        <f t="shared" si="472"/>
        <v>0</v>
      </c>
      <c r="BY119" s="159">
        <f t="shared" si="473"/>
        <v>0</v>
      </c>
      <c r="BZ119" s="159">
        <f t="shared" si="474"/>
        <v>0</v>
      </c>
      <c r="CA119" s="158">
        <f t="shared" si="475"/>
        <v>0</v>
      </c>
      <c r="CB119" s="157">
        <f t="shared" si="476"/>
        <v>0</v>
      </c>
      <c r="CC119" s="144"/>
      <c r="CD119" s="158">
        <f t="shared" si="477"/>
        <v>0</v>
      </c>
      <c r="CE119" s="159">
        <f t="shared" si="478"/>
        <v>0</v>
      </c>
      <c r="CF119" s="159">
        <f t="shared" si="479"/>
        <v>0</v>
      </c>
      <c r="CG119" s="159">
        <f t="shared" si="331"/>
        <v>0</v>
      </c>
      <c r="CH119" s="158">
        <f t="shared" si="480"/>
        <v>0</v>
      </c>
      <c r="CI119" s="157">
        <f t="shared" si="481"/>
        <v>0</v>
      </c>
      <c r="CK119" s="61">
        <f t="shared" si="482"/>
        <v>0</v>
      </c>
      <c r="CL119" s="62">
        <f t="shared" si="483"/>
        <v>0</v>
      </c>
      <c r="CM119" s="63">
        <f t="shared" si="484"/>
        <v>0</v>
      </c>
      <c r="CN119" s="61">
        <f t="shared" si="485"/>
        <v>0</v>
      </c>
      <c r="CO119" s="29"/>
      <c r="CP119" s="61">
        <f t="shared" si="486"/>
        <v>0</v>
      </c>
      <c r="CQ119" s="62">
        <f t="shared" si="487"/>
        <v>0</v>
      </c>
      <c r="CR119" s="63">
        <f t="shared" si="488"/>
        <v>0</v>
      </c>
      <c r="CS119" s="61">
        <f t="shared" si="489"/>
        <v>0</v>
      </c>
      <c r="CU119" s="60">
        <f t="shared" si="346"/>
        <v>0</v>
      </c>
      <c r="CV119" s="132">
        <f t="shared" si="347"/>
        <v>0</v>
      </c>
      <c r="CW119" s="132">
        <f t="shared" si="348"/>
        <v>0</v>
      </c>
      <c r="CX119" s="131">
        <f t="shared" si="349"/>
        <v>0</v>
      </c>
    </row>
    <row r="120" spans="1:102">
      <c r="A120" s="29">
        <v>401</v>
      </c>
      <c r="B120" s="29" t="s">
        <v>6</v>
      </c>
      <c r="C120" s="55" t="s">
        <v>149</v>
      </c>
      <c r="D120" s="56">
        <v>0</v>
      </c>
      <c r="E120" s="57">
        <f>VLOOKUP(A120,AuxOPEXSaneparOriginal!$B$4:$F$177,3,0)</f>
        <v>0</v>
      </c>
      <c r="F120" s="156">
        <f>VLOOKUP(A120,AuxOPEXSaneparOriginal!$B$4:$F$177,4,0)</f>
        <v>0</v>
      </c>
      <c r="G120" s="57">
        <f>VLOOKUP(A120,AuxOPEXSaneparOriginal!$B$4:$K$177,8,0)</f>
        <v>0</v>
      </c>
      <c r="H120" s="156">
        <f>VLOOKUP(A120,AuxOPEXSaneparOriginal!$B$4:$K$177,9,0)</f>
        <v>0</v>
      </c>
      <c r="I120" s="57">
        <f>VLOOKUP(A120,AuxOPEXSaneparOriginal!$B$4:$N$177,13,0)</f>
        <v>546.76</v>
      </c>
      <c r="J120" s="57">
        <f>VLOOKUP(A120,AuxOPEXSaneparOriginal!$B$4:$Q$177,16,0)</f>
        <v>2076259.8199999998</v>
      </c>
      <c r="K120" s="57">
        <f>VLOOKUP(A120,AuxOPEXSaneparOriginal!$B$4:$V$177,21,0)</f>
        <v>0</v>
      </c>
      <c r="L120" s="157">
        <f t="shared" si="442"/>
        <v>2076806.5799999998</v>
      </c>
      <c r="M120" s="19">
        <f>VLOOKUP(A120,AuxOPEXSaneparOriginal!$B$4:$AB$177,27,0)</f>
        <v>0</v>
      </c>
      <c r="N120" s="156">
        <f>VLOOKUP(A120,AuxOPEXSaneparOriginal!$B$4:$AC$177,28,0)</f>
        <v>0</v>
      </c>
      <c r="O120" s="156">
        <f>VLOOKUP(A120,AuxOPEXSaneparOriginal!$B$4:$AD$177,29,0)</f>
        <v>0</v>
      </c>
      <c r="P120" s="156">
        <f>VLOOKUP(A120,AuxOPEXSaneparOriginal!$B$4:$AE$177,30,0)</f>
        <v>0</v>
      </c>
      <c r="Q120" s="146">
        <f>VLOOKUP(A120,AuxOPEXSaneparOriginal!$B$4:$AF$177,31,0)</f>
        <v>940.07999999999993</v>
      </c>
      <c r="R120" s="146">
        <f>VLOOKUP(A120,AuxOPEXSaneparOriginal!$B$4:$AG$177,32,0)</f>
        <v>1350841.5200000003</v>
      </c>
      <c r="S120" s="146">
        <f>VLOOKUP(A120,AuxOPEXSaneparOriginal!$B$4:$AH$177,33,0)</f>
        <v>0</v>
      </c>
      <c r="T120" s="157">
        <f t="shared" si="443"/>
        <v>1351781.6000000003</v>
      </c>
      <c r="U120" s="156">
        <f>VLOOKUP(A120,AuxOPEXSaneparOriginal!$B$4:$AI$177,34,0)</f>
        <v>0</v>
      </c>
      <c r="V120" s="156">
        <f>VLOOKUP(A120,AuxOPEXSaneparOriginal!$B$4:$AJ$177,35,0)</f>
        <v>0</v>
      </c>
      <c r="W120" s="156">
        <f>VLOOKUP(A120,AuxOPEXSaneparOriginal!$B$4:$AK$177,36,0)</f>
        <v>0</v>
      </c>
      <c r="X120" s="19">
        <f>+VLOOKUP(A120,AuxOPEXSaneparOriginal!$B$4:$AL$177,37,0)</f>
        <v>0</v>
      </c>
      <c r="Y120" s="146">
        <f>VLOOKUP(A120,AuxOPEXSaneparOriginal!$B$4:$AM$177,38,0)</f>
        <v>468.21</v>
      </c>
      <c r="Z120" s="146">
        <f>VLOOKUP(A120,AuxOPEXSaneparOriginal!$B$4:$AN$177,39,0)</f>
        <v>1488085.5999999999</v>
      </c>
      <c r="AA120" s="146">
        <f>VLOOKUP(A120,AuxOPEXSaneparOriginal!$B$4:$AO$177,40,0)</f>
        <v>0</v>
      </c>
      <c r="AB120" s="157">
        <f t="shared" si="444"/>
        <v>1488553.8099999998</v>
      </c>
      <c r="AC120" s="156">
        <f>VLOOKUP(A120,AuxOPEXSaneparOriginal!$B$4:$AP$177,41,0)</f>
        <v>2897.6</v>
      </c>
      <c r="AD120" s="156">
        <f>+VLOOKUP(A120,AuxOPEXSaneparOriginal!$B$4:$AQ$177,42,0)</f>
        <v>0</v>
      </c>
      <c r="AE120" s="156">
        <f>VLOOKUP(A120,AuxOPEXSaneparOriginal!$B$4:$AR$177,43,0)</f>
        <v>0</v>
      </c>
      <c r="AF120" s="156">
        <f>+VLOOKUP(A120,AuxOPEXSaneparOriginal!$B$4:$AS$177,44,0)</f>
        <v>0</v>
      </c>
      <c r="AG120" s="146">
        <f>VLOOKUP(A120,AuxOPEXSaneparOriginal!$B$4:$AT$177,45,0)</f>
        <v>2647.23</v>
      </c>
      <c r="AH120" s="146">
        <f>VLOOKUP(A120,AuxOPEXSaneparOriginal!$B$4:$AU$177,46,0)</f>
        <v>1852426</v>
      </c>
      <c r="AI120" s="146">
        <f>VLOOKUP(A120,AuxOPEXSaneparOriginal!$B$4:$AV$177,47,0)</f>
        <v>0</v>
      </c>
      <c r="AJ120" s="157">
        <f t="shared" si="445"/>
        <v>1857970.83</v>
      </c>
      <c r="AK120" s="157">
        <f t="shared" si="342"/>
        <v>1693778.2050000001</v>
      </c>
      <c r="AL120" s="157">
        <f t="shared" si="343"/>
        <v>1673262.3199999998</v>
      </c>
      <c r="AM120" s="144"/>
      <c r="AN120" s="167">
        <f t="shared" si="290"/>
        <v>0</v>
      </c>
      <c r="AO120" s="168">
        <f t="shared" si="291"/>
        <v>0</v>
      </c>
      <c r="AP120" s="57">
        <f t="shared" si="292"/>
        <v>0</v>
      </c>
      <c r="AQ120" s="57">
        <f t="shared" si="293"/>
        <v>0</v>
      </c>
      <c r="AR120" s="57">
        <f t="shared" si="294"/>
        <v>546.76</v>
      </c>
      <c r="AS120" s="57">
        <f t="shared" si="295"/>
        <v>2076259.8199999998</v>
      </c>
      <c r="AT120" s="57">
        <f t="shared" si="296"/>
        <v>0</v>
      </c>
      <c r="AU120" s="157">
        <f t="shared" si="446"/>
        <v>2076806.5799999998</v>
      </c>
      <c r="AV120" s="57">
        <f t="shared" si="447"/>
        <v>0</v>
      </c>
      <c r="AW120" s="57">
        <f t="shared" si="448"/>
        <v>0</v>
      </c>
      <c r="AX120" s="57">
        <f t="shared" si="449"/>
        <v>0</v>
      </c>
      <c r="AY120" s="57">
        <f t="shared" si="450"/>
        <v>0</v>
      </c>
      <c r="AZ120" s="57">
        <f t="shared" si="451"/>
        <v>940.07999999999993</v>
      </c>
      <c r="BA120" s="57">
        <f t="shared" si="452"/>
        <v>1350841.5200000003</v>
      </c>
      <c r="BB120" s="57">
        <f t="shared" si="453"/>
        <v>0</v>
      </c>
      <c r="BC120" s="157">
        <f t="shared" si="454"/>
        <v>1351781.6000000003</v>
      </c>
      <c r="BD120" s="57">
        <f t="shared" si="455"/>
        <v>0</v>
      </c>
      <c r="BE120" s="57">
        <f t="shared" si="456"/>
        <v>0</v>
      </c>
      <c r="BF120" s="57">
        <f t="shared" si="457"/>
        <v>0</v>
      </c>
      <c r="BG120" s="57">
        <f t="shared" si="458"/>
        <v>0</v>
      </c>
      <c r="BH120" s="57">
        <f t="shared" si="459"/>
        <v>468.21</v>
      </c>
      <c r="BI120" s="57">
        <f t="shared" si="460"/>
        <v>1488085.5999999999</v>
      </c>
      <c r="BJ120" s="57">
        <f t="shared" si="461"/>
        <v>0</v>
      </c>
      <c r="BK120" s="157">
        <f t="shared" si="462"/>
        <v>1488553.8099999998</v>
      </c>
      <c r="BL120" s="57">
        <f t="shared" si="463"/>
        <v>2897.6</v>
      </c>
      <c r="BM120" s="57">
        <f t="shared" si="464"/>
        <v>0</v>
      </c>
      <c r="BN120" s="57">
        <f t="shared" si="465"/>
        <v>0</v>
      </c>
      <c r="BO120" s="57">
        <f t="shared" si="466"/>
        <v>0</v>
      </c>
      <c r="BP120" s="57">
        <f t="shared" si="467"/>
        <v>2647.23</v>
      </c>
      <c r="BQ120" s="57">
        <f t="shared" si="468"/>
        <v>1852426</v>
      </c>
      <c r="BR120" s="57">
        <f t="shared" si="469"/>
        <v>0</v>
      </c>
      <c r="BS120" s="157">
        <f t="shared" si="470"/>
        <v>1857970.83</v>
      </c>
      <c r="BT120" s="157">
        <f t="shared" si="344"/>
        <v>1693778.2050000001</v>
      </c>
      <c r="BU120" s="157">
        <f t="shared" si="345"/>
        <v>1673262.3199999998</v>
      </c>
      <c r="BV120" s="144"/>
      <c r="BW120" s="158">
        <f t="shared" si="471"/>
        <v>2076806.5799999998</v>
      </c>
      <c r="BX120" s="159">
        <f t="shared" si="472"/>
        <v>1351781.6000000003</v>
      </c>
      <c r="BY120" s="159">
        <f t="shared" si="473"/>
        <v>1488553.8099999998</v>
      </c>
      <c r="BZ120" s="159">
        <f t="shared" si="474"/>
        <v>1857970.83</v>
      </c>
      <c r="CA120" s="158">
        <f t="shared" si="475"/>
        <v>1693778.2050000001</v>
      </c>
      <c r="CB120" s="157">
        <f t="shared" si="476"/>
        <v>1673262.3199999998</v>
      </c>
      <c r="CC120" s="144"/>
      <c r="CD120" s="158">
        <f t="shared" si="477"/>
        <v>2359227.1455203816</v>
      </c>
      <c r="CE120" s="159">
        <f t="shared" si="478"/>
        <v>1475894.4813568804</v>
      </c>
      <c r="CF120" s="159">
        <f t="shared" si="479"/>
        <v>1573688.5191999488</v>
      </c>
      <c r="CG120" s="159">
        <f t="shared" si="331"/>
        <v>1857970.83</v>
      </c>
      <c r="CH120" s="158">
        <f t="shared" si="480"/>
        <v>1816695.2440193028</v>
      </c>
      <c r="CI120" s="157">
        <f t="shared" si="481"/>
        <v>1715829.6745999744</v>
      </c>
      <c r="CK120" s="61">
        <f t="shared" si="482"/>
        <v>-0.37441611582027723</v>
      </c>
      <c r="CL120" s="62">
        <f t="shared" si="483"/>
        <v>6.6260860162008495E-2</v>
      </c>
      <c r="CM120" s="63">
        <f t="shared" si="484"/>
        <v>0.18064712764415303</v>
      </c>
      <c r="CN120" s="61">
        <f t="shared" si="485"/>
        <v>-0.21246632248706943</v>
      </c>
      <c r="CO120" s="29"/>
      <c r="CP120" s="61">
        <f t="shared" si="486"/>
        <v>9.9385937847237338E-4</v>
      </c>
      <c r="CQ120" s="62">
        <f t="shared" si="487"/>
        <v>6.3549836475047458E-4</v>
      </c>
      <c r="CR120" s="63">
        <f t="shared" si="488"/>
        <v>6.535107585589812E-4</v>
      </c>
      <c r="CS120" s="61">
        <f t="shared" si="489"/>
        <v>7.6768249057410575E-4</v>
      </c>
      <c r="CU120" s="60">
        <f t="shared" si="346"/>
        <v>100</v>
      </c>
      <c r="CV120" s="132">
        <f t="shared" si="347"/>
        <v>62.558388417972274</v>
      </c>
      <c r="CW120" s="132">
        <f t="shared" si="348"/>
        <v>66.703561044896148</v>
      </c>
      <c r="CX120" s="131">
        <f t="shared" si="349"/>
        <v>78.753367751293055</v>
      </c>
    </row>
    <row r="121" spans="1:102">
      <c r="A121" s="64">
        <v>460</v>
      </c>
      <c r="B121" s="64" t="s">
        <v>6</v>
      </c>
      <c r="C121" s="65" t="s">
        <v>150</v>
      </c>
      <c r="D121" s="66">
        <v>1</v>
      </c>
      <c r="E121" s="57">
        <f>VLOOKUP(A121,AuxOPEXSaneparOriginal!$B$4:$F$177,3,0)</f>
        <v>2742375.4799999995</v>
      </c>
      <c r="F121" s="156">
        <f>VLOOKUP(A121,AuxOPEXSaneparOriginal!$B$4:$F$177,4,0)</f>
        <v>0</v>
      </c>
      <c r="G121" s="57">
        <f>VLOOKUP(A121,AuxOPEXSaneparOriginal!$B$4:$K$177,8,0)</f>
        <v>0</v>
      </c>
      <c r="H121" s="156">
        <f>VLOOKUP(A121,AuxOPEXSaneparOriginal!$B$4:$K$177,9,0)</f>
        <v>691852.2</v>
      </c>
      <c r="I121" s="57">
        <f>VLOOKUP(A121,AuxOPEXSaneparOriginal!$B$4:$N$177,13,0)</f>
        <v>0</v>
      </c>
      <c r="J121" s="57">
        <f>VLOOKUP(A121,AuxOPEXSaneparOriginal!$B$4:$Q$177,16,0)</f>
        <v>0</v>
      </c>
      <c r="K121" s="57">
        <f>VLOOKUP(A121,AuxOPEXSaneparOriginal!$B$4:$V$177,21,0)</f>
        <v>0</v>
      </c>
      <c r="L121" s="157">
        <f t="shared" si="442"/>
        <v>3434227.6799999997</v>
      </c>
      <c r="M121" s="19">
        <f>VLOOKUP(A121,AuxOPEXSaneparOriginal!$B$4:$AB$177,27,0)</f>
        <v>2753154.79</v>
      </c>
      <c r="N121" s="156">
        <f>VLOOKUP(A121,AuxOPEXSaneparOriginal!$B$4:$AC$177,28,0)</f>
        <v>0</v>
      </c>
      <c r="O121" s="156">
        <f>VLOOKUP(A121,AuxOPEXSaneparOriginal!$B$4:$AD$177,29,0)</f>
        <v>0</v>
      </c>
      <c r="P121" s="156">
        <f>VLOOKUP(A121,AuxOPEXSaneparOriginal!$B$4:$AE$177,30,0)</f>
        <v>699633.70999999985</v>
      </c>
      <c r="Q121" s="146">
        <f>VLOOKUP(A121,AuxOPEXSaneparOriginal!$B$4:$AF$177,31,0)</f>
        <v>0</v>
      </c>
      <c r="R121" s="146">
        <f>VLOOKUP(A121,AuxOPEXSaneparOriginal!$B$4:$AG$177,32,0)</f>
        <v>0</v>
      </c>
      <c r="S121" s="146">
        <f>VLOOKUP(A121,AuxOPEXSaneparOriginal!$B$4:$AH$177,33,0)</f>
        <v>0</v>
      </c>
      <c r="T121" s="157">
        <f t="shared" si="443"/>
        <v>3452788.5</v>
      </c>
      <c r="U121" s="156">
        <f>VLOOKUP(A121,AuxOPEXSaneparOriginal!$B$4:$AI$177,34,0)</f>
        <v>0</v>
      </c>
      <c r="V121" s="156">
        <f>VLOOKUP(A121,AuxOPEXSaneparOriginal!$B$4:$AJ$177,35,0)</f>
        <v>0</v>
      </c>
      <c r="W121" s="156">
        <f>VLOOKUP(A121,AuxOPEXSaneparOriginal!$B$4:$AK$177,36,0)</f>
        <v>0</v>
      </c>
      <c r="X121" s="19">
        <f>+VLOOKUP(A121,AuxOPEXSaneparOriginal!$B$4:$AL$177,37,0)</f>
        <v>0</v>
      </c>
      <c r="Y121" s="146">
        <f>VLOOKUP(A121,AuxOPEXSaneparOriginal!$B$4:$AM$177,38,0)</f>
        <v>0</v>
      </c>
      <c r="Z121" s="146">
        <f>VLOOKUP(A121,AuxOPEXSaneparOriginal!$B$4:$AN$177,39,0)</f>
        <v>0</v>
      </c>
      <c r="AA121" s="146">
        <f>VLOOKUP(A121,AuxOPEXSaneparOriginal!$B$4:$AO$177,40,0)</f>
        <v>0</v>
      </c>
      <c r="AB121" s="157">
        <f t="shared" si="444"/>
        <v>0</v>
      </c>
      <c r="AC121" s="156">
        <f>VLOOKUP(A121,AuxOPEXSaneparOriginal!$B$4:$AP$177,41,0)</f>
        <v>3043652.540000001</v>
      </c>
      <c r="AD121" s="156">
        <f>+VLOOKUP(A121,AuxOPEXSaneparOriginal!$B$4:$AQ$177,42,0)</f>
        <v>0</v>
      </c>
      <c r="AE121" s="156">
        <f>VLOOKUP(A121,AuxOPEXSaneparOriginal!$B$4:$AR$177,43,0)</f>
        <v>0</v>
      </c>
      <c r="AF121" s="156">
        <f>+VLOOKUP(A121,AuxOPEXSaneparOriginal!$B$4:$AS$177,44,0)</f>
        <v>752946.8</v>
      </c>
      <c r="AG121" s="146">
        <f>VLOOKUP(A121,AuxOPEXSaneparOriginal!$B$4:$AT$177,45,0)</f>
        <v>0</v>
      </c>
      <c r="AH121" s="146">
        <f>VLOOKUP(A121,AuxOPEXSaneparOriginal!$B$4:$AU$177,46,0)</f>
        <v>0</v>
      </c>
      <c r="AI121" s="146">
        <f>VLOOKUP(A121,AuxOPEXSaneparOriginal!$B$4:$AV$177,47,0)</f>
        <v>0</v>
      </c>
      <c r="AJ121" s="157">
        <f t="shared" si="445"/>
        <v>3796599.3400000008</v>
      </c>
      <c r="AK121" s="157">
        <f t="shared" si="342"/>
        <v>2670903.88</v>
      </c>
      <c r="AL121" s="157">
        <f t="shared" si="343"/>
        <v>1898299.6700000004</v>
      </c>
      <c r="AM121" s="144"/>
      <c r="AN121" s="167">
        <f t="shared" si="290"/>
        <v>0</v>
      </c>
      <c r="AO121" s="168">
        <f t="shared" si="291"/>
        <v>0</v>
      </c>
      <c r="AP121" s="57">
        <f t="shared" si="292"/>
        <v>0</v>
      </c>
      <c r="AQ121" s="57">
        <f t="shared" si="293"/>
        <v>0</v>
      </c>
      <c r="AR121" s="57">
        <f t="shared" si="294"/>
        <v>0</v>
      </c>
      <c r="AS121" s="57">
        <f t="shared" si="295"/>
        <v>0</v>
      </c>
      <c r="AT121" s="57">
        <f t="shared" si="296"/>
        <v>0</v>
      </c>
      <c r="AU121" s="157">
        <f t="shared" si="446"/>
        <v>0</v>
      </c>
      <c r="AV121" s="57">
        <f t="shared" si="447"/>
        <v>0</v>
      </c>
      <c r="AW121" s="57">
        <f t="shared" si="448"/>
        <v>0</v>
      </c>
      <c r="AX121" s="57">
        <f t="shared" si="449"/>
        <v>0</v>
      </c>
      <c r="AY121" s="57">
        <f t="shared" si="450"/>
        <v>0</v>
      </c>
      <c r="AZ121" s="57">
        <f t="shared" si="451"/>
        <v>0</v>
      </c>
      <c r="BA121" s="57">
        <f t="shared" si="452"/>
        <v>0</v>
      </c>
      <c r="BB121" s="57">
        <f t="shared" si="453"/>
        <v>0</v>
      </c>
      <c r="BC121" s="157">
        <f t="shared" si="454"/>
        <v>0</v>
      </c>
      <c r="BD121" s="57">
        <f t="shared" si="455"/>
        <v>0</v>
      </c>
      <c r="BE121" s="57">
        <f t="shared" si="456"/>
        <v>0</v>
      </c>
      <c r="BF121" s="57">
        <f t="shared" si="457"/>
        <v>0</v>
      </c>
      <c r="BG121" s="57">
        <f t="shared" si="458"/>
        <v>0</v>
      </c>
      <c r="BH121" s="57">
        <f t="shared" si="459"/>
        <v>0</v>
      </c>
      <c r="BI121" s="57">
        <f t="shared" si="460"/>
        <v>0</v>
      </c>
      <c r="BJ121" s="57">
        <f t="shared" si="461"/>
        <v>0</v>
      </c>
      <c r="BK121" s="157">
        <f t="shared" si="462"/>
        <v>0</v>
      </c>
      <c r="BL121" s="57">
        <f t="shared" si="463"/>
        <v>0</v>
      </c>
      <c r="BM121" s="57">
        <f t="shared" si="464"/>
        <v>0</v>
      </c>
      <c r="BN121" s="57">
        <f t="shared" si="465"/>
        <v>0</v>
      </c>
      <c r="BO121" s="57">
        <f t="shared" si="466"/>
        <v>0</v>
      </c>
      <c r="BP121" s="57">
        <f t="shared" si="467"/>
        <v>0</v>
      </c>
      <c r="BQ121" s="57">
        <f t="shared" si="468"/>
        <v>0</v>
      </c>
      <c r="BR121" s="57">
        <f t="shared" si="469"/>
        <v>0</v>
      </c>
      <c r="BS121" s="157">
        <f t="shared" si="470"/>
        <v>0</v>
      </c>
      <c r="BT121" s="157">
        <f t="shared" si="344"/>
        <v>0</v>
      </c>
      <c r="BU121" s="157">
        <f t="shared" si="345"/>
        <v>0</v>
      </c>
      <c r="BV121" s="144"/>
      <c r="BW121" s="158">
        <f t="shared" si="471"/>
        <v>0</v>
      </c>
      <c r="BX121" s="159">
        <f t="shared" si="472"/>
        <v>0</v>
      </c>
      <c r="BY121" s="159">
        <f t="shared" si="473"/>
        <v>0</v>
      </c>
      <c r="BZ121" s="159">
        <f t="shared" si="474"/>
        <v>0</v>
      </c>
      <c r="CA121" s="158">
        <f t="shared" si="475"/>
        <v>0</v>
      </c>
      <c r="CB121" s="157">
        <f t="shared" si="476"/>
        <v>0</v>
      </c>
      <c r="CC121" s="144"/>
      <c r="CD121" s="158">
        <f t="shared" si="477"/>
        <v>0</v>
      </c>
      <c r="CE121" s="159">
        <f t="shared" si="478"/>
        <v>0</v>
      </c>
      <c r="CF121" s="159">
        <f t="shared" si="479"/>
        <v>0</v>
      </c>
      <c r="CG121" s="159">
        <f t="shared" si="331"/>
        <v>0</v>
      </c>
      <c r="CH121" s="158">
        <f t="shared" si="480"/>
        <v>0</v>
      </c>
      <c r="CI121" s="157">
        <f t="shared" si="481"/>
        <v>0</v>
      </c>
      <c r="CK121" s="61">
        <f t="shared" si="482"/>
        <v>0</v>
      </c>
      <c r="CL121" s="62">
        <f t="shared" si="483"/>
        <v>0</v>
      </c>
      <c r="CM121" s="63">
        <f t="shared" si="484"/>
        <v>0</v>
      </c>
      <c r="CN121" s="61">
        <f t="shared" si="485"/>
        <v>0</v>
      </c>
      <c r="CO121" s="29"/>
      <c r="CP121" s="61">
        <f t="shared" si="486"/>
        <v>0</v>
      </c>
      <c r="CQ121" s="62">
        <f t="shared" si="487"/>
        <v>0</v>
      </c>
      <c r="CR121" s="63">
        <f t="shared" si="488"/>
        <v>0</v>
      </c>
      <c r="CS121" s="61">
        <f t="shared" si="489"/>
        <v>0</v>
      </c>
      <c r="CU121" s="60">
        <f t="shared" si="346"/>
        <v>0</v>
      </c>
      <c r="CV121" s="132">
        <f t="shared" si="347"/>
        <v>0</v>
      </c>
      <c r="CW121" s="132">
        <f t="shared" si="348"/>
        <v>0</v>
      </c>
      <c r="CX121" s="131">
        <f t="shared" si="349"/>
        <v>0</v>
      </c>
    </row>
    <row r="122" spans="1:102">
      <c r="A122" s="64">
        <v>451</v>
      </c>
      <c r="B122" s="64" t="s">
        <v>6</v>
      </c>
      <c r="C122" s="65" t="s">
        <v>151</v>
      </c>
      <c r="D122" s="66">
        <v>1</v>
      </c>
      <c r="E122" s="57">
        <f>VLOOKUP(A122,AuxOPEXSaneparOriginal!$B$4:$F$177,3,0)</f>
        <v>0</v>
      </c>
      <c r="F122" s="156">
        <f>VLOOKUP(A122,AuxOPEXSaneparOriginal!$B$4:$F$177,4,0)</f>
        <v>0</v>
      </c>
      <c r="G122" s="57">
        <f>VLOOKUP(A122,AuxOPEXSaneparOriginal!$B$4:$K$177,8,0)</f>
        <v>0</v>
      </c>
      <c r="H122" s="156">
        <f>VLOOKUP(A122,AuxOPEXSaneparOriginal!$B$4:$K$177,9,0)</f>
        <v>0</v>
      </c>
      <c r="I122" s="57">
        <f>VLOOKUP(A122,AuxOPEXSaneparOriginal!$B$4:$N$177,13,0)</f>
        <v>52170774.95000004</v>
      </c>
      <c r="J122" s="57">
        <f>VLOOKUP(A122,AuxOPEXSaneparOriginal!$B$4:$Q$177,16,0)</f>
        <v>647168.47</v>
      </c>
      <c r="K122" s="57">
        <f>VLOOKUP(A122,AuxOPEXSaneparOriginal!$B$4:$V$177,21,0)</f>
        <v>0</v>
      </c>
      <c r="L122" s="157">
        <f t="shared" si="442"/>
        <v>52817943.420000039</v>
      </c>
      <c r="M122" s="19">
        <f>VLOOKUP(A122,AuxOPEXSaneparOriginal!$B$4:$AB$177,27,0)</f>
        <v>0</v>
      </c>
      <c r="N122" s="156">
        <f>VLOOKUP(A122,AuxOPEXSaneparOriginal!$B$4:$AC$177,28,0)</f>
        <v>0</v>
      </c>
      <c r="O122" s="156">
        <f>VLOOKUP(A122,AuxOPEXSaneparOriginal!$B$4:$AD$177,29,0)</f>
        <v>0</v>
      </c>
      <c r="P122" s="156">
        <f>VLOOKUP(A122,AuxOPEXSaneparOriginal!$B$4:$AE$177,30,0)</f>
        <v>0</v>
      </c>
      <c r="Q122" s="146">
        <f>VLOOKUP(A122,AuxOPEXSaneparOriginal!$B$4:$AF$177,31,0)</f>
        <v>55965119.119999975</v>
      </c>
      <c r="R122" s="146">
        <f>VLOOKUP(A122,AuxOPEXSaneparOriginal!$B$4:$AG$177,32,0)</f>
        <v>435061.21999999991</v>
      </c>
      <c r="S122" s="146">
        <f>VLOOKUP(A122,AuxOPEXSaneparOriginal!$B$4:$AH$177,33,0)</f>
        <v>0</v>
      </c>
      <c r="T122" s="157">
        <f t="shared" si="443"/>
        <v>56400180.339999974</v>
      </c>
      <c r="U122" s="156">
        <f>VLOOKUP(A122,AuxOPEXSaneparOriginal!$B$4:$AI$177,34,0)</f>
        <v>0</v>
      </c>
      <c r="V122" s="156">
        <f>VLOOKUP(A122,AuxOPEXSaneparOriginal!$B$4:$AJ$177,35,0)</f>
        <v>0</v>
      </c>
      <c r="W122" s="156">
        <f>VLOOKUP(A122,AuxOPEXSaneparOriginal!$B$4:$AK$177,36,0)</f>
        <v>0</v>
      </c>
      <c r="X122" s="19">
        <f>+VLOOKUP(A122,AuxOPEXSaneparOriginal!$B$4:$AL$177,37,0)</f>
        <v>0</v>
      </c>
      <c r="Y122" s="146">
        <f>VLOOKUP(A122,AuxOPEXSaneparOriginal!$B$4:$AM$177,38,0)</f>
        <v>62853364.689999953</v>
      </c>
      <c r="Z122" s="146">
        <f>VLOOKUP(A122,AuxOPEXSaneparOriginal!$B$4:$AN$177,39,0)</f>
        <v>352836.35000000003</v>
      </c>
      <c r="AA122" s="146">
        <f>VLOOKUP(A122,AuxOPEXSaneparOriginal!$B$4:$AO$177,40,0)</f>
        <v>0</v>
      </c>
      <c r="AB122" s="157">
        <f t="shared" si="444"/>
        <v>63206201.039999954</v>
      </c>
      <c r="AC122" s="156">
        <f>VLOOKUP(A122,AuxOPEXSaneparOriginal!$B$4:$AP$177,41,0)</f>
        <v>0</v>
      </c>
      <c r="AD122" s="156">
        <f>+VLOOKUP(A122,AuxOPEXSaneparOriginal!$B$4:$AQ$177,42,0)</f>
        <v>0</v>
      </c>
      <c r="AE122" s="156">
        <f>VLOOKUP(A122,AuxOPEXSaneparOriginal!$B$4:$AR$177,43,0)</f>
        <v>0</v>
      </c>
      <c r="AF122" s="156">
        <f>+VLOOKUP(A122,AuxOPEXSaneparOriginal!$B$4:$AS$177,44,0)</f>
        <v>0</v>
      </c>
      <c r="AG122" s="146">
        <f>VLOOKUP(A122,AuxOPEXSaneparOriginal!$B$4:$AT$177,45,0)</f>
        <v>63817666.600000001</v>
      </c>
      <c r="AH122" s="146">
        <f>VLOOKUP(A122,AuxOPEXSaneparOriginal!$B$4:$AU$177,46,0)</f>
        <v>508543.97000000009</v>
      </c>
      <c r="AI122" s="146">
        <f>VLOOKUP(A122,AuxOPEXSaneparOriginal!$B$4:$AV$177,47,0)</f>
        <v>0</v>
      </c>
      <c r="AJ122" s="157">
        <f t="shared" si="445"/>
        <v>64326210.57</v>
      </c>
      <c r="AK122" s="157">
        <f t="shared" si="342"/>
        <v>59187633.842499994</v>
      </c>
      <c r="AL122" s="157">
        <f t="shared" si="343"/>
        <v>63766205.804999977</v>
      </c>
      <c r="AM122" s="144"/>
      <c r="AN122" s="167">
        <f t="shared" si="290"/>
        <v>0</v>
      </c>
      <c r="AO122" s="168">
        <f t="shared" si="291"/>
        <v>0</v>
      </c>
      <c r="AP122" s="57">
        <f t="shared" si="292"/>
        <v>0</v>
      </c>
      <c r="AQ122" s="57">
        <f t="shared" si="293"/>
        <v>0</v>
      </c>
      <c r="AR122" s="57">
        <f t="shared" si="294"/>
        <v>0</v>
      </c>
      <c r="AS122" s="57">
        <f t="shared" si="295"/>
        <v>0</v>
      </c>
      <c r="AT122" s="57">
        <f t="shared" si="296"/>
        <v>0</v>
      </c>
      <c r="AU122" s="157">
        <f t="shared" si="446"/>
        <v>0</v>
      </c>
      <c r="AV122" s="57">
        <f t="shared" si="447"/>
        <v>0</v>
      </c>
      <c r="AW122" s="57">
        <f t="shared" si="448"/>
        <v>0</v>
      </c>
      <c r="AX122" s="57">
        <f t="shared" si="449"/>
        <v>0</v>
      </c>
      <c r="AY122" s="57">
        <f t="shared" si="450"/>
        <v>0</v>
      </c>
      <c r="AZ122" s="57">
        <f t="shared" si="451"/>
        <v>0</v>
      </c>
      <c r="BA122" s="57">
        <f t="shared" si="452"/>
        <v>0</v>
      </c>
      <c r="BB122" s="57">
        <f t="shared" si="453"/>
        <v>0</v>
      </c>
      <c r="BC122" s="157">
        <f t="shared" si="454"/>
        <v>0</v>
      </c>
      <c r="BD122" s="57">
        <f t="shared" si="455"/>
        <v>0</v>
      </c>
      <c r="BE122" s="57">
        <f t="shared" si="456"/>
        <v>0</v>
      </c>
      <c r="BF122" s="57">
        <f t="shared" si="457"/>
        <v>0</v>
      </c>
      <c r="BG122" s="57">
        <f t="shared" si="458"/>
        <v>0</v>
      </c>
      <c r="BH122" s="57">
        <f t="shared" si="459"/>
        <v>0</v>
      </c>
      <c r="BI122" s="57">
        <f t="shared" si="460"/>
        <v>0</v>
      </c>
      <c r="BJ122" s="57">
        <f t="shared" si="461"/>
        <v>0</v>
      </c>
      <c r="BK122" s="157">
        <f t="shared" si="462"/>
        <v>0</v>
      </c>
      <c r="BL122" s="57">
        <f t="shared" si="463"/>
        <v>0</v>
      </c>
      <c r="BM122" s="57">
        <f t="shared" si="464"/>
        <v>0</v>
      </c>
      <c r="BN122" s="57">
        <f t="shared" si="465"/>
        <v>0</v>
      </c>
      <c r="BO122" s="57">
        <f t="shared" si="466"/>
        <v>0</v>
      </c>
      <c r="BP122" s="57">
        <f t="shared" si="467"/>
        <v>0</v>
      </c>
      <c r="BQ122" s="57">
        <f t="shared" si="468"/>
        <v>0</v>
      </c>
      <c r="BR122" s="57">
        <f t="shared" si="469"/>
        <v>0</v>
      </c>
      <c r="BS122" s="157">
        <f t="shared" si="470"/>
        <v>0</v>
      </c>
      <c r="BT122" s="157">
        <f t="shared" si="344"/>
        <v>0</v>
      </c>
      <c r="BU122" s="157">
        <f t="shared" si="345"/>
        <v>0</v>
      </c>
      <c r="BV122" s="144"/>
      <c r="BW122" s="158">
        <f t="shared" si="471"/>
        <v>0</v>
      </c>
      <c r="BX122" s="159">
        <f t="shared" si="472"/>
        <v>0</v>
      </c>
      <c r="BY122" s="159">
        <f t="shared" si="473"/>
        <v>0</v>
      </c>
      <c r="BZ122" s="159">
        <f t="shared" si="474"/>
        <v>0</v>
      </c>
      <c r="CA122" s="158">
        <f t="shared" si="475"/>
        <v>0</v>
      </c>
      <c r="CB122" s="157">
        <f t="shared" si="476"/>
        <v>0</v>
      </c>
      <c r="CC122" s="144"/>
      <c r="CD122" s="158">
        <f t="shared" si="477"/>
        <v>0</v>
      </c>
      <c r="CE122" s="159">
        <f t="shared" si="478"/>
        <v>0</v>
      </c>
      <c r="CF122" s="159">
        <f t="shared" si="479"/>
        <v>0</v>
      </c>
      <c r="CG122" s="159">
        <f t="shared" si="331"/>
        <v>0</v>
      </c>
      <c r="CH122" s="158">
        <f t="shared" si="480"/>
        <v>0</v>
      </c>
      <c r="CI122" s="157">
        <f t="shared" si="481"/>
        <v>0</v>
      </c>
      <c r="CK122" s="61">
        <f t="shared" si="482"/>
        <v>0</v>
      </c>
      <c r="CL122" s="62">
        <f t="shared" si="483"/>
        <v>0</v>
      </c>
      <c r="CM122" s="63">
        <f t="shared" si="484"/>
        <v>0</v>
      </c>
      <c r="CN122" s="61">
        <f t="shared" si="485"/>
        <v>0</v>
      </c>
      <c r="CO122" s="29"/>
      <c r="CP122" s="61">
        <f t="shared" si="486"/>
        <v>0</v>
      </c>
      <c r="CQ122" s="62">
        <f t="shared" si="487"/>
        <v>0</v>
      </c>
      <c r="CR122" s="63">
        <f t="shared" si="488"/>
        <v>0</v>
      </c>
      <c r="CS122" s="61">
        <f t="shared" si="489"/>
        <v>0</v>
      </c>
      <c r="CU122" s="60">
        <f t="shared" si="346"/>
        <v>0</v>
      </c>
      <c r="CV122" s="132">
        <f t="shared" si="347"/>
        <v>0</v>
      </c>
      <c r="CW122" s="132">
        <f t="shared" si="348"/>
        <v>0</v>
      </c>
      <c r="CX122" s="131">
        <f t="shared" si="349"/>
        <v>0</v>
      </c>
    </row>
    <row r="123" spans="1:102">
      <c r="A123" s="64">
        <v>452</v>
      </c>
      <c r="B123" s="64" t="s">
        <v>6</v>
      </c>
      <c r="C123" s="65" t="s">
        <v>152</v>
      </c>
      <c r="D123" s="66">
        <v>1</v>
      </c>
      <c r="E123" s="57">
        <f>VLOOKUP(A123,AuxOPEXSaneparOriginal!$B$4:$F$177,3,0)</f>
        <v>0</v>
      </c>
      <c r="F123" s="156">
        <f>VLOOKUP(A123,AuxOPEXSaneparOriginal!$B$4:$F$177,4,0)</f>
        <v>0</v>
      </c>
      <c r="G123" s="57">
        <f>VLOOKUP(A123,AuxOPEXSaneparOriginal!$B$4:$K$177,8,0)</f>
        <v>0</v>
      </c>
      <c r="H123" s="156">
        <f>VLOOKUP(A123,AuxOPEXSaneparOriginal!$B$4:$K$177,9,0)</f>
        <v>0</v>
      </c>
      <c r="I123" s="57">
        <f>VLOOKUP(A123,AuxOPEXSaneparOriginal!$B$4:$N$177,13,0)</f>
        <v>240301747.31000006</v>
      </c>
      <c r="J123" s="57">
        <f>VLOOKUP(A123,AuxOPEXSaneparOriginal!$B$4:$Q$177,16,0)</f>
        <v>3827843.15</v>
      </c>
      <c r="K123" s="57">
        <f>VLOOKUP(A123,AuxOPEXSaneparOriginal!$B$4:$V$177,21,0)</f>
        <v>0</v>
      </c>
      <c r="L123" s="157">
        <f t="shared" si="442"/>
        <v>244129590.46000007</v>
      </c>
      <c r="M123" s="19">
        <f>VLOOKUP(A123,AuxOPEXSaneparOriginal!$B$4:$AB$177,27,0)</f>
        <v>0</v>
      </c>
      <c r="N123" s="156">
        <f>VLOOKUP(A123,AuxOPEXSaneparOriginal!$B$4:$AC$177,28,0)</f>
        <v>0</v>
      </c>
      <c r="O123" s="156">
        <f>VLOOKUP(A123,AuxOPEXSaneparOriginal!$B$4:$AD$177,29,0)</f>
        <v>0</v>
      </c>
      <c r="P123" s="156">
        <f>VLOOKUP(A123,AuxOPEXSaneparOriginal!$B$4:$AE$177,30,0)</f>
        <v>0</v>
      </c>
      <c r="Q123" s="146">
        <f>VLOOKUP(A123,AuxOPEXSaneparOriginal!$B$4:$AF$177,31,0)</f>
        <v>257778735.64000019</v>
      </c>
      <c r="R123" s="146">
        <f>VLOOKUP(A123,AuxOPEXSaneparOriginal!$B$4:$AG$177,32,0)</f>
        <v>2507973.4800000004</v>
      </c>
      <c r="S123" s="146">
        <f>VLOOKUP(A123,AuxOPEXSaneparOriginal!$B$4:$AH$177,33,0)</f>
        <v>0</v>
      </c>
      <c r="T123" s="157">
        <f t="shared" si="443"/>
        <v>260286709.12000018</v>
      </c>
      <c r="U123" s="156">
        <f>VLOOKUP(A123,AuxOPEXSaneparOriginal!$B$4:$AI$177,34,0)</f>
        <v>0</v>
      </c>
      <c r="V123" s="156">
        <f>VLOOKUP(A123,AuxOPEXSaneparOriginal!$B$4:$AJ$177,35,0)</f>
        <v>0</v>
      </c>
      <c r="W123" s="156">
        <f>VLOOKUP(A123,AuxOPEXSaneparOriginal!$B$4:$AK$177,36,0)</f>
        <v>0</v>
      </c>
      <c r="X123" s="19">
        <f>+VLOOKUP(A123,AuxOPEXSaneparOriginal!$B$4:$AL$177,37,0)</f>
        <v>0</v>
      </c>
      <c r="Y123" s="146">
        <f>VLOOKUP(A123,AuxOPEXSaneparOriginal!$B$4:$AM$177,38,0)</f>
        <v>289506399.53999996</v>
      </c>
      <c r="Z123" s="146">
        <f>VLOOKUP(A123,AuxOPEXSaneparOriginal!$B$4:$AN$177,39,0)</f>
        <v>2046760.6699999997</v>
      </c>
      <c r="AA123" s="146">
        <f>VLOOKUP(A123,AuxOPEXSaneparOriginal!$B$4:$AO$177,40,0)</f>
        <v>0</v>
      </c>
      <c r="AB123" s="157">
        <f t="shared" si="444"/>
        <v>291553160.20999998</v>
      </c>
      <c r="AC123" s="156">
        <f>VLOOKUP(A123,AuxOPEXSaneparOriginal!$B$4:$AP$177,41,0)</f>
        <v>0</v>
      </c>
      <c r="AD123" s="156">
        <f>+VLOOKUP(A123,AuxOPEXSaneparOriginal!$B$4:$AQ$177,42,0)</f>
        <v>0</v>
      </c>
      <c r="AE123" s="156">
        <f>VLOOKUP(A123,AuxOPEXSaneparOriginal!$B$4:$AR$177,43,0)</f>
        <v>0</v>
      </c>
      <c r="AF123" s="156">
        <f>+VLOOKUP(A123,AuxOPEXSaneparOriginal!$B$4:$AS$177,44,0)</f>
        <v>0</v>
      </c>
      <c r="AG123" s="146">
        <f>VLOOKUP(A123,AuxOPEXSaneparOriginal!$B$4:$AT$177,45,0)</f>
        <v>293948319.93999958</v>
      </c>
      <c r="AH123" s="146">
        <f>VLOOKUP(A123,AuxOPEXSaneparOriginal!$B$4:$AU$177,46,0)</f>
        <v>2800321.9699999997</v>
      </c>
      <c r="AI123" s="146">
        <f>VLOOKUP(A123,AuxOPEXSaneparOriginal!$B$4:$AV$177,47,0)</f>
        <v>0</v>
      </c>
      <c r="AJ123" s="157">
        <f t="shared" si="445"/>
        <v>296748641.90999961</v>
      </c>
      <c r="AK123" s="157">
        <f t="shared" si="342"/>
        <v>273179525.42499995</v>
      </c>
      <c r="AL123" s="157">
        <f t="shared" si="343"/>
        <v>294150901.05999982</v>
      </c>
      <c r="AM123" s="144"/>
      <c r="AN123" s="167">
        <f t="shared" si="290"/>
        <v>0</v>
      </c>
      <c r="AO123" s="168">
        <f t="shared" si="291"/>
        <v>0</v>
      </c>
      <c r="AP123" s="57">
        <f t="shared" si="292"/>
        <v>0</v>
      </c>
      <c r="AQ123" s="57">
        <f t="shared" si="293"/>
        <v>0</v>
      </c>
      <c r="AR123" s="57">
        <f t="shared" si="294"/>
        <v>0</v>
      </c>
      <c r="AS123" s="57">
        <f t="shared" si="295"/>
        <v>0</v>
      </c>
      <c r="AT123" s="57">
        <f t="shared" si="296"/>
        <v>0</v>
      </c>
      <c r="AU123" s="157">
        <f t="shared" si="446"/>
        <v>0</v>
      </c>
      <c r="AV123" s="57">
        <f t="shared" si="447"/>
        <v>0</v>
      </c>
      <c r="AW123" s="57">
        <f t="shared" si="448"/>
        <v>0</v>
      </c>
      <c r="AX123" s="57">
        <f t="shared" si="449"/>
        <v>0</v>
      </c>
      <c r="AY123" s="57">
        <f t="shared" si="450"/>
        <v>0</v>
      </c>
      <c r="AZ123" s="57">
        <f t="shared" si="451"/>
        <v>0</v>
      </c>
      <c r="BA123" s="57">
        <f t="shared" si="452"/>
        <v>0</v>
      </c>
      <c r="BB123" s="57">
        <f t="shared" si="453"/>
        <v>0</v>
      </c>
      <c r="BC123" s="157">
        <f t="shared" si="454"/>
        <v>0</v>
      </c>
      <c r="BD123" s="57">
        <f t="shared" si="455"/>
        <v>0</v>
      </c>
      <c r="BE123" s="57">
        <f t="shared" si="456"/>
        <v>0</v>
      </c>
      <c r="BF123" s="57">
        <f t="shared" si="457"/>
        <v>0</v>
      </c>
      <c r="BG123" s="57">
        <f t="shared" si="458"/>
        <v>0</v>
      </c>
      <c r="BH123" s="57">
        <f t="shared" si="459"/>
        <v>0</v>
      </c>
      <c r="BI123" s="57">
        <f t="shared" si="460"/>
        <v>0</v>
      </c>
      <c r="BJ123" s="57">
        <f t="shared" si="461"/>
        <v>0</v>
      </c>
      <c r="BK123" s="157">
        <f t="shared" si="462"/>
        <v>0</v>
      </c>
      <c r="BL123" s="57">
        <f t="shared" si="463"/>
        <v>0</v>
      </c>
      <c r="BM123" s="57">
        <f t="shared" si="464"/>
        <v>0</v>
      </c>
      <c r="BN123" s="57">
        <f t="shared" si="465"/>
        <v>0</v>
      </c>
      <c r="BO123" s="57">
        <f t="shared" si="466"/>
        <v>0</v>
      </c>
      <c r="BP123" s="57">
        <f t="shared" si="467"/>
        <v>0</v>
      </c>
      <c r="BQ123" s="57">
        <f t="shared" si="468"/>
        <v>0</v>
      </c>
      <c r="BR123" s="57">
        <f t="shared" si="469"/>
        <v>0</v>
      </c>
      <c r="BS123" s="157">
        <f t="shared" si="470"/>
        <v>0</v>
      </c>
      <c r="BT123" s="157">
        <f t="shared" si="344"/>
        <v>0</v>
      </c>
      <c r="BU123" s="157">
        <f t="shared" si="345"/>
        <v>0</v>
      </c>
      <c r="BV123" s="144"/>
      <c r="BW123" s="158">
        <f t="shared" si="471"/>
        <v>0</v>
      </c>
      <c r="BX123" s="159">
        <f t="shared" si="472"/>
        <v>0</v>
      </c>
      <c r="BY123" s="159">
        <f t="shared" si="473"/>
        <v>0</v>
      </c>
      <c r="BZ123" s="159">
        <f t="shared" si="474"/>
        <v>0</v>
      </c>
      <c r="CA123" s="158">
        <f t="shared" si="475"/>
        <v>0</v>
      </c>
      <c r="CB123" s="157">
        <f t="shared" si="476"/>
        <v>0</v>
      </c>
      <c r="CC123" s="144"/>
      <c r="CD123" s="158">
        <f t="shared" si="477"/>
        <v>0</v>
      </c>
      <c r="CE123" s="159">
        <f t="shared" si="478"/>
        <v>0</v>
      </c>
      <c r="CF123" s="159">
        <f t="shared" si="479"/>
        <v>0</v>
      </c>
      <c r="CG123" s="159">
        <f t="shared" si="331"/>
        <v>0</v>
      </c>
      <c r="CH123" s="158">
        <f t="shared" si="480"/>
        <v>0</v>
      </c>
      <c r="CI123" s="157">
        <f t="shared" si="481"/>
        <v>0</v>
      </c>
      <c r="CK123" s="61">
        <f t="shared" si="482"/>
        <v>0</v>
      </c>
      <c r="CL123" s="62">
        <f t="shared" si="483"/>
        <v>0</v>
      </c>
      <c r="CM123" s="63">
        <f t="shared" si="484"/>
        <v>0</v>
      </c>
      <c r="CN123" s="61">
        <f t="shared" si="485"/>
        <v>0</v>
      </c>
      <c r="CO123" s="29"/>
      <c r="CP123" s="61">
        <f t="shared" si="486"/>
        <v>0</v>
      </c>
      <c r="CQ123" s="62">
        <f t="shared" si="487"/>
        <v>0</v>
      </c>
      <c r="CR123" s="63">
        <f t="shared" si="488"/>
        <v>0</v>
      </c>
      <c r="CS123" s="61">
        <f t="shared" si="489"/>
        <v>0</v>
      </c>
      <c r="CU123" s="60">
        <f t="shared" si="346"/>
        <v>0</v>
      </c>
      <c r="CV123" s="132">
        <f t="shared" si="347"/>
        <v>0</v>
      </c>
      <c r="CW123" s="132">
        <f t="shared" si="348"/>
        <v>0</v>
      </c>
      <c r="CX123" s="131">
        <f t="shared" si="349"/>
        <v>0</v>
      </c>
    </row>
    <row r="124" spans="1:102">
      <c r="A124" s="64">
        <v>454</v>
      </c>
      <c r="B124" s="64" t="s">
        <v>6</v>
      </c>
      <c r="C124" s="65" t="s">
        <v>153</v>
      </c>
      <c r="D124" s="66">
        <v>1</v>
      </c>
      <c r="E124" s="57">
        <f>VLOOKUP(A124,AuxOPEXSaneparOriginal!$B$4:$F$177,3,0)</f>
        <v>563729.09000000032</v>
      </c>
      <c r="F124" s="156">
        <f>VLOOKUP(A124,AuxOPEXSaneparOriginal!$B$4:$F$177,4,0)</f>
        <v>574659.27000000014</v>
      </c>
      <c r="G124" s="57">
        <f>VLOOKUP(A124,AuxOPEXSaneparOriginal!$B$4:$K$177,8,0)</f>
        <v>1807.8</v>
      </c>
      <c r="H124" s="156">
        <f>VLOOKUP(A124,AuxOPEXSaneparOriginal!$B$4:$K$177,9,0)</f>
        <v>39819.919999999998</v>
      </c>
      <c r="I124" s="57">
        <f>VLOOKUP(A124,AuxOPEXSaneparOriginal!$B$4:$N$177,13,0)</f>
        <v>18649.919999999998</v>
      </c>
      <c r="J124" s="57">
        <f>VLOOKUP(A124,AuxOPEXSaneparOriginal!$B$4:$Q$177,16,0)</f>
        <v>861038.47000000009</v>
      </c>
      <c r="K124" s="57">
        <f>VLOOKUP(A124,AuxOPEXSaneparOriginal!$B$4:$V$177,21,0)</f>
        <v>0</v>
      </c>
      <c r="L124" s="157">
        <f t="shared" si="442"/>
        <v>2059704.4700000002</v>
      </c>
      <c r="M124" s="19">
        <f>VLOOKUP(A124,AuxOPEXSaneparOriginal!$B$4:$AB$177,27,0)</f>
        <v>567835.4800000001</v>
      </c>
      <c r="N124" s="156">
        <f>VLOOKUP(A124,AuxOPEXSaneparOriginal!$B$4:$AC$177,28,0)</f>
        <v>618668.68999999983</v>
      </c>
      <c r="O124" s="156">
        <f>VLOOKUP(A124,AuxOPEXSaneparOriginal!$B$4:$AD$177,29,0)</f>
        <v>1869.07</v>
      </c>
      <c r="P124" s="156">
        <f>VLOOKUP(A124,AuxOPEXSaneparOriginal!$B$4:$AE$177,30,0)</f>
        <v>41367.890000000007</v>
      </c>
      <c r="Q124" s="146">
        <f>VLOOKUP(A124,AuxOPEXSaneparOriginal!$B$4:$AF$177,31,0)</f>
        <v>21611.629999999997</v>
      </c>
      <c r="R124" s="146">
        <f>VLOOKUP(A124,AuxOPEXSaneparOriginal!$B$4:$AG$177,32,0)</f>
        <v>1090514.3500000001</v>
      </c>
      <c r="S124" s="146">
        <f>VLOOKUP(A124,AuxOPEXSaneparOriginal!$B$4:$AH$177,33,0)</f>
        <v>0</v>
      </c>
      <c r="T124" s="157">
        <f t="shared" si="443"/>
        <v>2341867.11</v>
      </c>
      <c r="U124" s="156">
        <f>VLOOKUP(A124,AuxOPEXSaneparOriginal!$B$4:$AI$177,34,0)</f>
        <v>626740.09999999986</v>
      </c>
      <c r="V124" s="156">
        <f>VLOOKUP(A124,AuxOPEXSaneparOriginal!$B$4:$AJ$177,35,0)</f>
        <v>686491.61000000022</v>
      </c>
      <c r="W124" s="156">
        <f>VLOOKUP(A124,AuxOPEXSaneparOriginal!$B$4:$AK$177,36,0)</f>
        <v>2051.0299999999997</v>
      </c>
      <c r="X124" s="19">
        <f>+VLOOKUP(A124,AuxOPEXSaneparOriginal!$B$4:$AL$177,37,0)</f>
        <v>43078.549999999996</v>
      </c>
      <c r="Y124" s="146">
        <f>VLOOKUP(A124,AuxOPEXSaneparOriginal!$B$4:$AM$177,38,0)</f>
        <v>36164.01999999999</v>
      </c>
      <c r="Z124" s="146">
        <f>VLOOKUP(A124,AuxOPEXSaneparOriginal!$B$4:$AN$177,39,0)</f>
        <v>974723.83</v>
      </c>
      <c r="AA124" s="146">
        <f>VLOOKUP(A124,AuxOPEXSaneparOriginal!$B$4:$AO$177,40,0)</f>
        <v>0</v>
      </c>
      <c r="AB124" s="157">
        <f t="shared" si="444"/>
        <v>2369249.14</v>
      </c>
      <c r="AC124" s="156">
        <f>VLOOKUP(A124,AuxOPEXSaneparOriginal!$B$4:$AP$177,41,0)</f>
        <v>705313.59000000008</v>
      </c>
      <c r="AD124" s="156">
        <f>+VLOOKUP(A124,AuxOPEXSaneparOriginal!$B$4:$AQ$177,42,0)</f>
        <v>719816.06</v>
      </c>
      <c r="AE124" s="156">
        <f>VLOOKUP(A124,AuxOPEXSaneparOriginal!$B$4:$AR$177,43,0)</f>
        <v>656.48</v>
      </c>
      <c r="AF124" s="156">
        <f>+VLOOKUP(A124,AuxOPEXSaneparOriginal!$B$4:$AS$177,44,0)</f>
        <v>1312.8000000000002</v>
      </c>
      <c r="AG124" s="146">
        <f>VLOOKUP(A124,AuxOPEXSaneparOriginal!$B$4:$AT$177,45,0)</f>
        <v>27335.54</v>
      </c>
      <c r="AH124" s="146">
        <f>VLOOKUP(A124,AuxOPEXSaneparOriginal!$B$4:$AU$177,46,0)</f>
        <v>997447.43999999983</v>
      </c>
      <c r="AI124" s="146">
        <f>VLOOKUP(A124,AuxOPEXSaneparOriginal!$B$4:$AV$177,47,0)</f>
        <v>0</v>
      </c>
      <c r="AJ124" s="157">
        <f t="shared" si="445"/>
        <v>2451881.91</v>
      </c>
      <c r="AK124" s="157">
        <f t="shared" si="342"/>
        <v>2305675.6575000002</v>
      </c>
      <c r="AL124" s="157">
        <f t="shared" si="343"/>
        <v>2410565.5250000004</v>
      </c>
      <c r="AM124" s="144"/>
      <c r="AN124" s="167">
        <f t="shared" si="290"/>
        <v>0</v>
      </c>
      <c r="AO124" s="168">
        <f t="shared" si="291"/>
        <v>0</v>
      </c>
      <c r="AP124" s="57">
        <f t="shared" si="292"/>
        <v>0</v>
      </c>
      <c r="AQ124" s="57">
        <f t="shared" si="293"/>
        <v>0</v>
      </c>
      <c r="AR124" s="57">
        <f t="shared" si="294"/>
        <v>0</v>
      </c>
      <c r="AS124" s="57">
        <f t="shared" si="295"/>
        <v>0</v>
      </c>
      <c r="AT124" s="57">
        <f t="shared" si="296"/>
        <v>0</v>
      </c>
      <c r="AU124" s="157">
        <f t="shared" si="446"/>
        <v>0</v>
      </c>
      <c r="AV124" s="57">
        <f t="shared" si="447"/>
        <v>0</v>
      </c>
      <c r="AW124" s="57">
        <f t="shared" si="448"/>
        <v>0</v>
      </c>
      <c r="AX124" s="57">
        <f t="shared" si="449"/>
        <v>0</v>
      </c>
      <c r="AY124" s="57">
        <f t="shared" si="450"/>
        <v>0</v>
      </c>
      <c r="AZ124" s="57">
        <f t="shared" si="451"/>
        <v>0</v>
      </c>
      <c r="BA124" s="57">
        <f t="shared" si="452"/>
        <v>0</v>
      </c>
      <c r="BB124" s="57">
        <f t="shared" si="453"/>
        <v>0</v>
      </c>
      <c r="BC124" s="157">
        <f t="shared" si="454"/>
        <v>0</v>
      </c>
      <c r="BD124" s="57">
        <f t="shared" si="455"/>
        <v>0</v>
      </c>
      <c r="BE124" s="57">
        <f t="shared" si="456"/>
        <v>0</v>
      </c>
      <c r="BF124" s="57">
        <f t="shared" si="457"/>
        <v>0</v>
      </c>
      <c r="BG124" s="57">
        <f t="shared" si="458"/>
        <v>0</v>
      </c>
      <c r="BH124" s="57">
        <f t="shared" si="459"/>
        <v>0</v>
      </c>
      <c r="BI124" s="57">
        <f t="shared" si="460"/>
        <v>0</v>
      </c>
      <c r="BJ124" s="57">
        <f t="shared" si="461"/>
        <v>0</v>
      </c>
      <c r="BK124" s="157">
        <f t="shared" si="462"/>
        <v>0</v>
      </c>
      <c r="BL124" s="57">
        <f t="shared" si="463"/>
        <v>0</v>
      </c>
      <c r="BM124" s="57">
        <f t="shared" si="464"/>
        <v>0</v>
      </c>
      <c r="BN124" s="57">
        <f t="shared" si="465"/>
        <v>0</v>
      </c>
      <c r="BO124" s="57">
        <f t="shared" si="466"/>
        <v>0</v>
      </c>
      <c r="BP124" s="57">
        <f t="shared" si="467"/>
        <v>0</v>
      </c>
      <c r="BQ124" s="57">
        <f t="shared" si="468"/>
        <v>0</v>
      </c>
      <c r="BR124" s="57">
        <f t="shared" si="469"/>
        <v>0</v>
      </c>
      <c r="BS124" s="157">
        <f t="shared" si="470"/>
        <v>0</v>
      </c>
      <c r="BT124" s="157">
        <f t="shared" si="344"/>
        <v>0</v>
      </c>
      <c r="BU124" s="157">
        <f t="shared" si="345"/>
        <v>0</v>
      </c>
      <c r="BV124" s="144"/>
      <c r="BW124" s="158">
        <f t="shared" si="471"/>
        <v>0</v>
      </c>
      <c r="BX124" s="159">
        <f t="shared" si="472"/>
        <v>0</v>
      </c>
      <c r="BY124" s="159">
        <f t="shared" si="473"/>
        <v>0</v>
      </c>
      <c r="BZ124" s="159">
        <f t="shared" si="474"/>
        <v>0</v>
      </c>
      <c r="CA124" s="158">
        <f t="shared" si="475"/>
        <v>0</v>
      </c>
      <c r="CB124" s="157">
        <f t="shared" si="476"/>
        <v>0</v>
      </c>
      <c r="CC124" s="144"/>
      <c r="CD124" s="158">
        <f t="shared" si="477"/>
        <v>0</v>
      </c>
      <c r="CE124" s="159">
        <f t="shared" si="478"/>
        <v>0</v>
      </c>
      <c r="CF124" s="159">
        <f t="shared" si="479"/>
        <v>0</v>
      </c>
      <c r="CG124" s="159">
        <f t="shared" si="331"/>
        <v>0</v>
      </c>
      <c r="CH124" s="158">
        <f t="shared" si="480"/>
        <v>0</v>
      </c>
      <c r="CI124" s="157">
        <f t="shared" si="481"/>
        <v>0</v>
      </c>
      <c r="CK124" s="61">
        <f t="shared" si="482"/>
        <v>0</v>
      </c>
      <c r="CL124" s="62">
        <f t="shared" si="483"/>
        <v>0</v>
      </c>
      <c r="CM124" s="63">
        <f t="shared" si="484"/>
        <v>0</v>
      </c>
      <c r="CN124" s="61">
        <f t="shared" si="485"/>
        <v>0</v>
      </c>
      <c r="CO124" s="29"/>
      <c r="CP124" s="61">
        <f t="shared" si="486"/>
        <v>0</v>
      </c>
      <c r="CQ124" s="62">
        <f t="shared" si="487"/>
        <v>0</v>
      </c>
      <c r="CR124" s="63">
        <f t="shared" si="488"/>
        <v>0</v>
      </c>
      <c r="CS124" s="61">
        <f t="shared" si="489"/>
        <v>0</v>
      </c>
      <c r="CU124" s="60">
        <f t="shared" si="346"/>
        <v>0</v>
      </c>
      <c r="CV124" s="132">
        <f t="shared" si="347"/>
        <v>0</v>
      </c>
      <c r="CW124" s="132">
        <f t="shared" si="348"/>
        <v>0</v>
      </c>
      <c r="CX124" s="131">
        <f t="shared" si="349"/>
        <v>0</v>
      </c>
    </row>
    <row r="125" spans="1:102">
      <c r="A125" s="64">
        <v>455</v>
      </c>
      <c r="B125" s="64" t="s">
        <v>6</v>
      </c>
      <c r="C125" s="65" t="s">
        <v>154</v>
      </c>
      <c r="D125" s="66">
        <v>1</v>
      </c>
      <c r="E125" s="57">
        <f>VLOOKUP(A125,AuxOPEXSaneparOriginal!$B$4:$F$177,3,0)</f>
        <v>0</v>
      </c>
      <c r="F125" s="156">
        <f>VLOOKUP(A125,AuxOPEXSaneparOriginal!$B$4:$F$177,4,0)</f>
        <v>0</v>
      </c>
      <c r="G125" s="57">
        <f>VLOOKUP(A125,AuxOPEXSaneparOriginal!$B$4:$K$177,8,0)</f>
        <v>0</v>
      </c>
      <c r="H125" s="156">
        <f>VLOOKUP(A125,AuxOPEXSaneparOriginal!$B$4:$K$177,9,0)</f>
        <v>0</v>
      </c>
      <c r="I125" s="57">
        <f>VLOOKUP(A125,AuxOPEXSaneparOriginal!$B$4:$N$177,13,0)</f>
        <v>0</v>
      </c>
      <c r="J125" s="57">
        <f>VLOOKUP(A125,AuxOPEXSaneparOriginal!$B$4:$Q$177,16,0)</f>
        <v>373041.57</v>
      </c>
      <c r="K125" s="57">
        <f>VLOOKUP(A125,AuxOPEXSaneparOriginal!$B$4:$V$177,21,0)</f>
        <v>0</v>
      </c>
      <c r="L125" s="157">
        <f t="shared" si="442"/>
        <v>373041.57</v>
      </c>
      <c r="M125" s="19">
        <f>VLOOKUP(A125,AuxOPEXSaneparOriginal!$B$4:$AB$177,27,0)</f>
        <v>0</v>
      </c>
      <c r="N125" s="156">
        <f>VLOOKUP(A125,AuxOPEXSaneparOriginal!$B$4:$AC$177,28,0)</f>
        <v>0</v>
      </c>
      <c r="O125" s="156">
        <f>VLOOKUP(A125,AuxOPEXSaneparOriginal!$B$4:$AD$177,29,0)</f>
        <v>0</v>
      </c>
      <c r="P125" s="156">
        <f>VLOOKUP(A125,AuxOPEXSaneparOriginal!$B$4:$AE$177,30,0)</f>
        <v>0</v>
      </c>
      <c r="Q125" s="146">
        <f>VLOOKUP(A125,AuxOPEXSaneparOriginal!$B$4:$AF$177,31,0)</f>
        <v>0</v>
      </c>
      <c r="R125" s="146">
        <f>VLOOKUP(A125,AuxOPEXSaneparOriginal!$B$4:$AG$177,32,0)</f>
        <v>509483.9</v>
      </c>
      <c r="S125" s="146">
        <f>VLOOKUP(A125,AuxOPEXSaneparOriginal!$B$4:$AH$177,33,0)</f>
        <v>0</v>
      </c>
      <c r="T125" s="157">
        <f t="shared" si="443"/>
        <v>509483.9</v>
      </c>
      <c r="U125" s="156">
        <f>VLOOKUP(A125,AuxOPEXSaneparOriginal!$B$4:$AI$177,34,0)</f>
        <v>0</v>
      </c>
      <c r="V125" s="156">
        <f>VLOOKUP(A125,AuxOPEXSaneparOriginal!$B$4:$AJ$177,35,0)</f>
        <v>0</v>
      </c>
      <c r="W125" s="156">
        <f>VLOOKUP(A125,AuxOPEXSaneparOriginal!$B$4:$AK$177,36,0)</f>
        <v>0</v>
      </c>
      <c r="X125" s="19">
        <f>+VLOOKUP(A125,AuxOPEXSaneparOriginal!$B$4:$AL$177,37,0)</f>
        <v>0</v>
      </c>
      <c r="Y125" s="146">
        <f>VLOOKUP(A125,AuxOPEXSaneparOriginal!$B$4:$AM$177,38,0)</f>
        <v>0</v>
      </c>
      <c r="Z125" s="146">
        <f>VLOOKUP(A125,AuxOPEXSaneparOriginal!$B$4:$AN$177,39,0)</f>
        <v>443035.02</v>
      </c>
      <c r="AA125" s="146">
        <f>VLOOKUP(A125,AuxOPEXSaneparOriginal!$B$4:$AO$177,40,0)</f>
        <v>0</v>
      </c>
      <c r="AB125" s="157">
        <f t="shared" si="444"/>
        <v>443035.02</v>
      </c>
      <c r="AC125" s="156">
        <f>VLOOKUP(A125,AuxOPEXSaneparOriginal!$B$4:$AP$177,41,0)</f>
        <v>17138.559999999994</v>
      </c>
      <c r="AD125" s="156">
        <f>+VLOOKUP(A125,AuxOPEXSaneparOriginal!$B$4:$AQ$177,42,0)</f>
        <v>55228.199999999975</v>
      </c>
      <c r="AE125" s="156">
        <f>VLOOKUP(A125,AuxOPEXSaneparOriginal!$B$4:$AR$177,43,0)</f>
        <v>56331.080000000009</v>
      </c>
      <c r="AF125" s="156">
        <f>+VLOOKUP(A125,AuxOPEXSaneparOriginal!$B$4:$AS$177,44,0)</f>
        <v>9175.8499999999967</v>
      </c>
      <c r="AG125" s="146">
        <f>VLOOKUP(A125,AuxOPEXSaneparOriginal!$B$4:$AT$177,45,0)</f>
        <v>29649.389999999989</v>
      </c>
      <c r="AH125" s="146">
        <f>VLOOKUP(A125,AuxOPEXSaneparOriginal!$B$4:$AU$177,46,0)</f>
        <v>256962.05000000005</v>
      </c>
      <c r="AI125" s="146">
        <f>VLOOKUP(A125,AuxOPEXSaneparOriginal!$B$4:$AV$177,47,0)</f>
        <v>0</v>
      </c>
      <c r="AJ125" s="157">
        <f t="shared" si="445"/>
        <v>424485.13</v>
      </c>
      <c r="AK125" s="157">
        <f t="shared" si="342"/>
        <v>437511.40500000003</v>
      </c>
      <c r="AL125" s="157">
        <f t="shared" si="343"/>
        <v>433760.07500000001</v>
      </c>
      <c r="AM125" s="144"/>
      <c r="AN125" s="167">
        <f t="shared" si="290"/>
        <v>0</v>
      </c>
      <c r="AO125" s="168">
        <f t="shared" si="291"/>
        <v>0</v>
      </c>
      <c r="AP125" s="57">
        <f t="shared" si="292"/>
        <v>0</v>
      </c>
      <c r="AQ125" s="57">
        <f t="shared" si="293"/>
        <v>0</v>
      </c>
      <c r="AR125" s="57">
        <f t="shared" si="294"/>
        <v>0</v>
      </c>
      <c r="AS125" s="57">
        <f t="shared" si="295"/>
        <v>0</v>
      </c>
      <c r="AT125" s="57">
        <f t="shared" si="296"/>
        <v>0</v>
      </c>
      <c r="AU125" s="157">
        <f t="shared" si="446"/>
        <v>0</v>
      </c>
      <c r="AV125" s="57">
        <f t="shared" si="447"/>
        <v>0</v>
      </c>
      <c r="AW125" s="57">
        <f t="shared" si="448"/>
        <v>0</v>
      </c>
      <c r="AX125" s="57">
        <f t="shared" si="449"/>
        <v>0</v>
      </c>
      <c r="AY125" s="57">
        <f t="shared" si="450"/>
        <v>0</v>
      </c>
      <c r="AZ125" s="57">
        <f t="shared" si="451"/>
        <v>0</v>
      </c>
      <c r="BA125" s="57">
        <f t="shared" si="452"/>
        <v>0</v>
      </c>
      <c r="BB125" s="57">
        <f t="shared" si="453"/>
        <v>0</v>
      </c>
      <c r="BC125" s="157">
        <f t="shared" si="454"/>
        <v>0</v>
      </c>
      <c r="BD125" s="57">
        <f t="shared" si="455"/>
        <v>0</v>
      </c>
      <c r="BE125" s="57">
        <f t="shared" si="456"/>
        <v>0</v>
      </c>
      <c r="BF125" s="57">
        <f t="shared" si="457"/>
        <v>0</v>
      </c>
      <c r="BG125" s="57">
        <f t="shared" si="458"/>
        <v>0</v>
      </c>
      <c r="BH125" s="57">
        <f t="shared" si="459"/>
        <v>0</v>
      </c>
      <c r="BI125" s="57">
        <f t="shared" si="460"/>
        <v>0</v>
      </c>
      <c r="BJ125" s="57">
        <f t="shared" si="461"/>
        <v>0</v>
      </c>
      <c r="BK125" s="157">
        <f t="shared" si="462"/>
        <v>0</v>
      </c>
      <c r="BL125" s="57">
        <f t="shared" si="463"/>
        <v>0</v>
      </c>
      <c r="BM125" s="57">
        <f t="shared" si="464"/>
        <v>0</v>
      </c>
      <c r="BN125" s="57">
        <f t="shared" si="465"/>
        <v>0</v>
      </c>
      <c r="BO125" s="57">
        <f t="shared" si="466"/>
        <v>0</v>
      </c>
      <c r="BP125" s="57">
        <f t="shared" si="467"/>
        <v>0</v>
      </c>
      <c r="BQ125" s="57">
        <f t="shared" si="468"/>
        <v>0</v>
      </c>
      <c r="BR125" s="57">
        <f t="shared" si="469"/>
        <v>0</v>
      </c>
      <c r="BS125" s="157">
        <f t="shared" si="470"/>
        <v>0</v>
      </c>
      <c r="BT125" s="157">
        <f t="shared" si="344"/>
        <v>0</v>
      </c>
      <c r="BU125" s="157">
        <f t="shared" si="345"/>
        <v>0</v>
      </c>
      <c r="BV125" s="144"/>
      <c r="BW125" s="158">
        <f t="shared" si="471"/>
        <v>0</v>
      </c>
      <c r="BX125" s="159">
        <f t="shared" si="472"/>
        <v>0</v>
      </c>
      <c r="BY125" s="159">
        <f t="shared" si="473"/>
        <v>0</v>
      </c>
      <c r="BZ125" s="159">
        <f t="shared" si="474"/>
        <v>0</v>
      </c>
      <c r="CA125" s="158">
        <f t="shared" si="475"/>
        <v>0</v>
      </c>
      <c r="CB125" s="157">
        <f t="shared" si="476"/>
        <v>0</v>
      </c>
      <c r="CC125" s="144"/>
      <c r="CD125" s="158">
        <f t="shared" si="477"/>
        <v>0</v>
      </c>
      <c r="CE125" s="159">
        <f t="shared" si="478"/>
        <v>0</v>
      </c>
      <c r="CF125" s="159">
        <f t="shared" si="479"/>
        <v>0</v>
      </c>
      <c r="CG125" s="159">
        <f t="shared" si="331"/>
        <v>0</v>
      </c>
      <c r="CH125" s="158">
        <f t="shared" si="480"/>
        <v>0</v>
      </c>
      <c r="CI125" s="157">
        <f t="shared" si="481"/>
        <v>0</v>
      </c>
      <c r="CK125" s="61">
        <f t="shared" si="482"/>
        <v>0</v>
      </c>
      <c r="CL125" s="62">
        <f t="shared" si="483"/>
        <v>0</v>
      </c>
      <c r="CM125" s="63">
        <f t="shared" si="484"/>
        <v>0</v>
      </c>
      <c r="CN125" s="61">
        <f t="shared" si="485"/>
        <v>0</v>
      </c>
      <c r="CO125" s="29"/>
      <c r="CP125" s="61">
        <f t="shared" si="486"/>
        <v>0</v>
      </c>
      <c r="CQ125" s="62">
        <f t="shared" si="487"/>
        <v>0</v>
      </c>
      <c r="CR125" s="63">
        <f t="shared" si="488"/>
        <v>0</v>
      </c>
      <c r="CS125" s="61">
        <f t="shared" si="489"/>
        <v>0</v>
      </c>
      <c r="CU125" s="60">
        <f t="shared" si="346"/>
        <v>0</v>
      </c>
      <c r="CV125" s="132">
        <f t="shared" si="347"/>
        <v>0</v>
      </c>
      <c r="CW125" s="132">
        <f t="shared" si="348"/>
        <v>0</v>
      </c>
      <c r="CX125" s="131">
        <f t="shared" si="349"/>
        <v>0</v>
      </c>
    </row>
    <row r="126" spans="1:102">
      <c r="A126" s="64">
        <v>456</v>
      </c>
      <c r="B126" s="64" t="s">
        <v>6</v>
      </c>
      <c r="C126" s="65" t="s">
        <v>155</v>
      </c>
      <c r="D126" s="66">
        <v>1</v>
      </c>
      <c r="E126" s="57">
        <f>VLOOKUP(A126,AuxOPEXSaneparOriginal!$B$4:$F$177,3,0)</f>
        <v>84174.719999999943</v>
      </c>
      <c r="F126" s="156">
        <f>VLOOKUP(A126,AuxOPEXSaneparOriginal!$B$4:$F$177,4,0)</f>
        <v>104348.07000000002</v>
      </c>
      <c r="G126" s="57">
        <f>VLOOKUP(A126,AuxOPEXSaneparOriginal!$B$4:$K$177,8,0)</f>
        <v>70189.19</v>
      </c>
      <c r="H126" s="156">
        <f>VLOOKUP(A126,AuxOPEXSaneparOriginal!$B$4:$K$177,9,0)</f>
        <v>39082.719999999994</v>
      </c>
      <c r="I126" s="57">
        <f>VLOOKUP(A126,AuxOPEXSaneparOriginal!$B$4:$N$177,13,0)</f>
        <v>56226.179999999993</v>
      </c>
      <c r="J126" s="57">
        <f>VLOOKUP(A126,AuxOPEXSaneparOriginal!$B$4:$Q$177,16,0)</f>
        <v>1204772.3600000006</v>
      </c>
      <c r="K126" s="57">
        <f>VLOOKUP(A126,AuxOPEXSaneparOriginal!$B$4:$V$177,21,0)</f>
        <v>0</v>
      </c>
      <c r="L126" s="157">
        <f t="shared" si="442"/>
        <v>1558793.2400000005</v>
      </c>
      <c r="M126" s="19">
        <f>VLOOKUP(A126,AuxOPEXSaneparOriginal!$B$4:$AB$177,27,0)</f>
        <v>75212.410000000033</v>
      </c>
      <c r="N126" s="156">
        <f>VLOOKUP(A126,AuxOPEXSaneparOriginal!$B$4:$AC$177,28,0)</f>
        <v>67236.040000000008</v>
      </c>
      <c r="O126" s="156">
        <f>VLOOKUP(A126,AuxOPEXSaneparOriginal!$B$4:$AD$177,29,0)</f>
        <v>66417.490000000005</v>
      </c>
      <c r="P126" s="156">
        <f>VLOOKUP(A126,AuxOPEXSaneparOriginal!$B$4:$AE$177,30,0)</f>
        <v>55557.039999999979</v>
      </c>
      <c r="Q126" s="146">
        <f>VLOOKUP(A126,AuxOPEXSaneparOriginal!$B$4:$AF$177,31,0)</f>
        <v>72685.900000000023</v>
      </c>
      <c r="R126" s="146">
        <f>VLOOKUP(A126,AuxOPEXSaneparOriginal!$B$4:$AG$177,32,0)</f>
        <v>694703.92000000016</v>
      </c>
      <c r="S126" s="146">
        <f>VLOOKUP(A126,AuxOPEXSaneparOriginal!$B$4:$AH$177,33,0)</f>
        <v>0</v>
      </c>
      <c r="T126" s="157">
        <f t="shared" si="443"/>
        <v>1031812.8000000003</v>
      </c>
      <c r="U126" s="156">
        <f>VLOOKUP(A126,AuxOPEXSaneparOriginal!$B$4:$AI$177,34,0)</f>
        <v>58971.179999999964</v>
      </c>
      <c r="V126" s="156">
        <f>VLOOKUP(A126,AuxOPEXSaneparOriginal!$B$4:$AJ$177,35,0)</f>
        <v>68186.650000000009</v>
      </c>
      <c r="W126" s="156">
        <f>VLOOKUP(A126,AuxOPEXSaneparOriginal!$B$4:$AK$177,36,0)</f>
        <v>58546.180000000008</v>
      </c>
      <c r="X126" s="19">
        <f>+VLOOKUP(A126,AuxOPEXSaneparOriginal!$B$4:$AL$177,37,0)</f>
        <v>44260.26999999999</v>
      </c>
      <c r="Y126" s="146">
        <f>VLOOKUP(A126,AuxOPEXSaneparOriginal!$B$4:$AM$177,38,0)</f>
        <v>79815.479999999967</v>
      </c>
      <c r="Z126" s="146">
        <f>VLOOKUP(A126,AuxOPEXSaneparOriginal!$B$4:$AN$177,39,0)</f>
        <v>901543.71</v>
      </c>
      <c r="AA126" s="146">
        <f>VLOOKUP(A126,AuxOPEXSaneparOriginal!$B$4:$AO$177,40,0)</f>
        <v>0</v>
      </c>
      <c r="AB126" s="157">
        <f t="shared" si="444"/>
        <v>1211323.47</v>
      </c>
      <c r="AC126" s="156">
        <f>VLOOKUP(A126,AuxOPEXSaneparOriginal!$B$4:$AP$177,41,0)</f>
        <v>47750.569999999992</v>
      </c>
      <c r="AD126" s="156">
        <f>+VLOOKUP(A126,AuxOPEXSaneparOriginal!$B$4:$AQ$177,42,0)</f>
        <v>61890.180000000015</v>
      </c>
      <c r="AE126" s="156">
        <f>VLOOKUP(A126,AuxOPEXSaneparOriginal!$B$4:$AR$177,43,0)</f>
        <v>127168.92000000003</v>
      </c>
      <c r="AF126" s="156">
        <f>+VLOOKUP(A126,AuxOPEXSaneparOriginal!$B$4:$AS$177,44,0)</f>
        <v>40665.409999999996</v>
      </c>
      <c r="AG126" s="146">
        <f>VLOOKUP(A126,AuxOPEXSaneparOriginal!$B$4:$AT$177,45,0)</f>
        <v>65133.42</v>
      </c>
      <c r="AH126" s="146">
        <f>VLOOKUP(A126,AuxOPEXSaneparOriginal!$B$4:$AU$177,46,0)</f>
        <v>933364.76999999979</v>
      </c>
      <c r="AI126" s="146">
        <f>VLOOKUP(A126,AuxOPEXSaneparOriginal!$B$4:$AV$177,47,0)</f>
        <v>0</v>
      </c>
      <c r="AJ126" s="157">
        <f t="shared" si="445"/>
        <v>1275973.2699999998</v>
      </c>
      <c r="AK126" s="157">
        <f t="shared" si="342"/>
        <v>1269475.6950000001</v>
      </c>
      <c r="AL126" s="157">
        <f t="shared" si="343"/>
        <v>1243648.3699999999</v>
      </c>
      <c r="AM126" s="144"/>
      <c r="AN126" s="167">
        <f t="shared" si="290"/>
        <v>0</v>
      </c>
      <c r="AO126" s="168">
        <f t="shared" si="291"/>
        <v>0</v>
      </c>
      <c r="AP126" s="57">
        <f t="shared" si="292"/>
        <v>0</v>
      </c>
      <c r="AQ126" s="57">
        <f t="shared" si="293"/>
        <v>0</v>
      </c>
      <c r="AR126" s="57">
        <f t="shared" si="294"/>
        <v>0</v>
      </c>
      <c r="AS126" s="57">
        <f t="shared" si="295"/>
        <v>0</v>
      </c>
      <c r="AT126" s="57">
        <f t="shared" si="296"/>
        <v>0</v>
      </c>
      <c r="AU126" s="157">
        <f t="shared" si="446"/>
        <v>0</v>
      </c>
      <c r="AV126" s="57">
        <f t="shared" si="447"/>
        <v>0</v>
      </c>
      <c r="AW126" s="57">
        <f t="shared" si="448"/>
        <v>0</v>
      </c>
      <c r="AX126" s="57">
        <f t="shared" si="449"/>
        <v>0</v>
      </c>
      <c r="AY126" s="57">
        <f t="shared" si="450"/>
        <v>0</v>
      </c>
      <c r="AZ126" s="57">
        <f t="shared" si="451"/>
        <v>0</v>
      </c>
      <c r="BA126" s="57">
        <f t="shared" si="452"/>
        <v>0</v>
      </c>
      <c r="BB126" s="57">
        <f t="shared" si="453"/>
        <v>0</v>
      </c>
      <c r="BC126" s="157">
        <f t="shared" si="454"/>
        <v>0</v>
      </c>
      <c r="BD126" s="57">
        <f t="shared" si="455"/>
        <v>0</v>
      </c>
      <c r="BE126" s="57">
        <f t="shared" si="456"/>
        <v>0</v>
      </c>
      <c r="BF126" s="57">
        <f t="shared" si="457"/>
        <v>0</v>
      </c>
      <c r="BG126" s="57">
        <f t="shared" si="458"/>
        <v>0</v>
      </c>
      <c r="BH126" s="57">
        <f t="shared" si="459"/>
        <v>0</v>
      </c>
      <c r="BI126" s="57">
        <f t="shared" si="460"/>
        <v>0</v>
      </c>
      <c r="BJ126" s="57">
        <f t="shared" si="461"/>
        <v>0</v>
      </c>
      <c r="BK126" s="157">
        <f t="shared" si="462"/>
        <v>0</v>
      </c>
      <c r="BL126" s="57">
        <f t="shared" si="463"/>
        <v>0</v>
      </c>
      <c r="BM126" s="57">
        <f t="shared" si="464"/>
        <v>0</v>
      </c>
      <c r="BN126" s="57">
        <f t="shared" si="465"/>
        <v>0</v>
      </c>
      <c r="BO126" s="57">
        <f t="shared" si="466"/>
        <v>0</v>
      </c>
      <c r="BP126" s="57">
        <f t="shared" si="467"/>
        <v>0</v>
      </c>
      <c r="BQ126" s="57">
        <f t="shared" si="468"/>
        <v>0</v>
      </c>
      <c r="BR126" s="57">
        <f t="shared" si="469"/>
        <v>0</v>
      </c>
      <c r="BS126" s="157">
        <f t="shared" si="470"/>
        <v>0</v>
      </c>
      <c r="BT126" s="157">
        <f t="shared" si="344"/>
        <v>0</v>
      </c>
      <c r="BU126" s="157">
        <f t="shared" si="345"/>
        <v>0</v>
      </c>
      <c r="BV126" s="144"/>
      <c r="BW126" s="158">
        <f t="shared" si="471"/>
        <v>0</v>
      </c>
      <c r="BX126" s="159">
        <f t="shared" si="472"/>
        <v>0</v>
      </c>
      <c r="BY126" s="159">
        <f t="shared" si="473"/>
        <v>0</v>
      </c>
      <c r="BZ126" s="159">
        <f t="shared" si="474"/>
        <v>0</v>
      </c>
      <c r="CA126" s="158">
        <f t="shared" si="475"/>
        <v>0</v>
      </c>
      <c r="CB126" s="157">
        <f t="shared" si="476"/>
        <v>0</v>
      </c>
      <c r="CC126" s="144"/>
      <c r="CD126" s="158">
        <f t="shared" si="477"/>
        <v>0</v>
      </c>
      <c r="CE126" s="159">
        <f t="shared" si="478"/>
        <v>0</v>
      </c>
      <c r="CF126" s="159">
        <f t="shared" si="479"/>
        <v>0</v>
      </c>
      <c r="CG126" s="159">
        <f t="shared" si="331"/>
        <v>0</v>
      </c>
      <c r="CH126" s="158">
        <f t="shared" si="480"/>
        <v>0</v>
      </c>
      <c r="CI126" s="157">
        <f t="shared" si="481"/>
        <v>0</v>
      </c>
      <c r="CK126" s="61">
        <f t="shared" si="482"/>
        <v>0</v>
      </c>
      <c r="CL126" s="62">
        <f t="shared" si="483"/>
        <v>0</v>
      </c>
      <c r="CM126" s="63">
        <f t="shared" si="484"/>
        <v>0</v>
      </c>
      <c r="CN126" s="61">
        <f t="shared" si="485"/>
        <v>0</v>
      </c>
      <c r="CO126" s="29"/>
      <c r="CP126" s="61">
        <f t="shared" si="486"/>
        <v>0</v>
      </c>
      <c r="CQ126" s="62">
        <f t="shared" si="487"/>
        <v>0</v>
      </c>
      <c r="CR126" s="63">
        <f t="shared" si="488"/>
        <v>0</v>
      </c>
      <c r="CS126" s="61">
        <f t="shared" si="489"/>
        <v>0</v>
      </c>
      <c r="CU126" s="60">
        <f t="shared" si="346"/>
        <v>0</v>
      </c>
      <c r="CV126" s="132">
        <f t="shared" si="347"/>
        <v>0</v>
      </c>
      <c r="CW126" s="132">
        <f t="shared" si="348"/>
        <v>0</v>
      </c>
      <c r="CX126" s="131">
        <f t="shared" si="349"/>
        <v>0</v>
      </c>
    </row>
    <row r="127" spans="1:102">
      <c r="A127" s="252">
        <v>457</v>
      </c>
      <c r="B127" s="252" t="s">
        <v>6</v>
      </c>
      <c r="C127" s="253" t="s">
        <v>156</v>
      </c>
      <c r="D127" s="56">
        <v>0</v>
      </c>
      <c r="E127" s="57">
        <f>VLOOKUP(A127,AuxOPEXSaneparOriginal!$B$4:$F$177,3,0)</f>
        <v>227504.91999999978</v>
      </c>
      <c r="F127" s="156">
        <f>VLOOKUP(A127,AuxOPEXSaneparOriginal!$B$4:$F$177,4,0)</f>
        <v>224456.61999999988</v>
      </c>
      <c r="G127" s="57">
        <f>VLOOKUP(A127,AuxOPEXSaneparOriginal!$B$4:$K$177,8,0)</f>
        <v>56015.05999999999</v>
      </c>
      <c r="H127" s="156">
        <f>VLOOKUP(A127,AuxOPEXSaneparOriginal!$B$4:$K$177,9,0)</f>
        <v>89999.379999999946</v>
      </c>
      <c r="I127" s="57">
        <f>VLOOKUP(A127,AuxOPEXSaneparOriginal!$B$4:$N$177,13,0)</f>
        <v>210195.36999999988</v>
      </c>
      <c r="J127" s="57">
        <f>VLOOKUP(A127,AuxOPEXSaneparOriginal!$B$4:$Q$177,16,0)</f>
        <v>1050616.78</v>
      </c>
      <c r="K127" s="57">
        <f>VLOOKUP(A127,AuxOPEXSaneparOriginal!$B$4:$V$177,21,0)</f>
        <v>0</v>
      </c>
      <c r="L127" s="157">
        <f t="shared" si="442"/>
        <v>1858788.1299999994</v>
      </c>
      <c r="M127" s="19">
        <f>VLOOKUP(A127,AuxOPEXSaneparOriginal!$B$4:$AB$177,27,0)</f>
        <v>229499.66999999987</v>
      </c>
      <c r="N127" s="156">
        <f>VLOOKUP(A127,AuxOPEXSaneparOriginal!$B$4:$AC$177,28,0)</f>
        <v>227475.62000000002</v>
      </c>
      <c r="O127" s="156">
        <f>VLOOKUP(A127,AuxOPEXSaneparOriginal!$B$4:$AD$177,29,0)</f>
        <v>59867.229999999974</v>
      </c>
      <c r="P127" s="156">
        <f>VLOOKUP(A127,AuxOPEXSaneparOriginal!$B$4:$AE$177,30,0)</f>
        <v>100368.95000000001</v>
      </c>
      <c r="Q127" s="146">
        <f>VLOOKUP(A127,AuxOPEXSaneparOriginal!$B$4:$AF$177,31,0)</f>
        <v>239702.23000000013</v>
      </c>
      <c r="R127" s="146">
        <f>VLOOKUP(A127,AuxOPEXSaneparOriginal!$B$4:$AG$177,32,0)</f>
        <v>1078775.0499999998</v>
      </c>
      <c r="S127" s="146">
        <f>VLOOKUP(A127,AuxOPEXSaneparOriginal!$B$4:$AH$177,33,0)</f>
        <v>0</v>
      </c>
      <c r="T127" s="157">
        <f t="shared" si="443"/>
        <v>1935688.75</v>
      </c>
      <c r="U127" s="156">
        <f>VLOOKUP(A127,AuxOPEXSaneparOriginal!$B$4:$AI$177,34,0)</f>
        <v>0</v>
      </c>
      <c r="V127" s="156">
        <f>VLOOKUP(A127,AuxOPEXSaneparOriginal!$B$4:$AJ$177,35,0)</f>
        <v>0</v>
      </c>
      <c r="W127" s="156">
        <f>VLOOKUP(A127,AuxOPEXSaneparOriginal!$B$4:$AK$177,36,0)</f>
        <v>0</v>
      </c>
      <c r="X127" s="19">
        <f>+VLOOKUP(A127,AuxOPEXSaneparOriginal!$B$4:$AL$177,37,0)</f>
        <v>0</v>
      </c>
      <c r="Y127" s="146">
        <f>VLOOKUP(A127,AuxOPEXSaneparOriginal!$B$4:$AM$177,38,0)</f>
        <v>0</v>
      </c>
      <c r="Z127" s="146">
        <f>VLOOKUP(A127,AuxOPEXSaneparOriginal!$B$4:$AN$177,39,0)</f>
        <v>61428.33</v>
      </c>
      <c r="AA127" s="146">
        <f>VLOOKUP(A127,AuxOPEXSaneparOriginal!$B$4:$AO$177,40,0)</f>
        <v>0</v>
      </c>
      <c r="AB127" s="157">
        <f t="shared" si="444"/>
        <v>61428.33</v>
      </c>
      <c r="AC127" s="156">
        <f>VLOOKUP(A127,AuxOPEXSaneparOriginal!$B$4:$AP$177,41,0)</f>
        <v>0</v>
      </c>
      <c r="AD127" s="156">
        <f>+VLOOKUP(A127,AuxOPEXSaneparOriginal!$B$4:$AQ$177,42,0)</f>
        <v>0</v>
      </c>
      <c r="AE127" s="156">
        <f>VLOOKUP(A127,AuxOPEXSaneparOriginal!$B$4:$AR$177,43,0)</f>
        <v>0</v>
      </c>
      <c r="AF127" s="156">
        <f>+VLOOKUP(A127,AuxOPEXSaneparOriginal!$B$4:$AS$177,44,0)</f>
        <v>0</v>
      </c>
      <c r="AG127" s="146">
        <f>VLOOKUP(A127,AuxOPEXSaneparOriginal!$B$4:$AT$177,45,0)</f>
        <v>0</v>
      </c>
      <c r="AH127" s="146">
        <f>VLOOKUP(A127,AuxOPEXSaneparOriginal!$B$4:$AU$177,46,0)</f>
        <v>65062.73</v>
      </c>
      <c r="AI127" s="146">
        <f>VLOOKUP(A127,AuxOPEXSaneparOriginal!$B$4:$AV$177,47,0)</f>
        <v>0</v>
      </c>
      <c r="AJ127" s="157">
        <f t="shared" si="445"/>
        <v>65062.73</v>
      </c>
      <c r="AK127" s="157">
        <f t="shared" si="342"/>
        <v>980241.98499999987</v>
      </c>
      <c r="AL127" s="157">
        <f t="shared" si="343"/>
        <v>63245.53</v>
      </c>
      <c r="AM127" s="144"/>
      <c r="AN127" s="167">
        <f t="shared" si="290"/>
        <v>227504.91999999978</v>
      </c>
      <c r="AO127" s="168">
        <f t="shared" si="291"/>
        <v>224456.61999999988</v>
      </c>
      <c r="AP127" s="57">
        <f t="shared" si="292"/>
        <v>56015.05999999999</v>
      </c>
      <c r="AQ127" s="57">
        <f t="shared" si="293"/>
        <v>89999.379999999946</v>
      </c>
      <c r="AR127" s="57">
        <f t="shared" si="294"/>
        <v>210195.36999999988</v>
      </c>
      <c r="AS127" s="57">
        <f t="shared" si="295"/>
        <v>1050616.78</v>
      </c>
      <c r="AT127" s="57">
        <f t="shared" si="296"/>
        <v>0</v>
      </c>
      <c r="AU127" s="157">
        <f t="shared" si="446"/>
        <v>1858788.1299999994</v>
      </c>
      <c r="AV127" s="57">
        <f t="shared" si="447"/>
        <v>229499.66999999987</v>
      </c>
      <c r="AW127" s="57">
        <f t="shared" si="448"/>
        <v>227475.62000000002</v>
      </c>
      <c r="AX127" s="57">
        <f t="shared" si="449"/>
        <v>59867.229999999974</v>
      </c>
      <c r="AY127" s="57">
        <f t="shared" si="450"/>
        <v>100368.95000000001</v>
      </c>
      <c r="AZ127" s="57">
        <f t="shared" si="451"/>
        <v>239702.23000000013</v>
      </c>
      <c r="BA127" s="57">
        <f t="shared" si="452"/>
        <v>1078775.0499999998</v>
      </c>
      <c r="BB127" s="57">
        <f t="shared" si="453"/>
        <v>0</v>
      </c>
      <c r="BC127" s="157">
        <f t="shared" si="454"/>
        <v>1935688.75</v>
      </c>
      <c r="BD127" s="57">
        <f t="shared" si="455"/>
        <v>0</v>
      </c>
      <c r="BE127" s="57">
        <f t="shared" si="456"/>
        <v>0</v>
      </c>
      <c r="BF127" s="57">
        <f t="shared" si="457"/>
        <v>0</v>
      </c>
      <c r="BG127" s="57">
        <f t="shared" si="458"/>
        <v>0</v>
      </c>
      <c r="BH127" s="57">
        <f t="shared" si="459"/>
        <v>0</v>
      </c>
      <c r="BI127" s="57">
        <f t="shared" si="460"/>
        <v>61428.33</v>
      </c>
      <c r="BJ127" s="57">
        <f t="shared" si="461"/>
        <v>0</v>
      </c>
      <c r="BK127" s="157">
        <f t="shared" si="462"/>
        <v>61428.33</v>
      </c>
      <c r="BL127" s="57">
        <f t="shared" si="463"/>
        <v>0</v>
      </c>
      <c r="BM127" s="57">
        <f t="shared" si="464"/>
        <v>0</v>
      </c>
      <c r="BN127" s="57">
        <f t="shared" si="465"/>
        <v>0</v>
      </c>
      <c r="BO127" s="57">
        <f t="shared" si="466"/>
        <v>0</v>
      </c>
      <c r="BP127" s="57">
        <f t="shared" si="467"/>
        <v>0</v>
      </c>
      <c r="BQ127" s="57">
        <f t="shared" si="468"/>
        <v>65062.73</v>
      </c>
      <c r="BR127" s="57">
        <f t="shared" si="469"/>
        <v>0</v>
      </c>
      <c r="BS127" s="157">
        <f t="shared" si="470"/>
        <v>65062.73</v>
      </c>
      <c r="BT127" s="157">
        <f t="shared" si="344"/>
        <v>980241.98499999987</v>
      </c>
      <c r="BU127" s="157">
        <f t="shared" si="345"/>
        <v>63245.53</v>
      </c>
      <c r="BV127" s="144"/>
      <c r="BW127" s="158">
        <f t="shared" si="471"/>
        <v>1858788.1299999994</v>
      </c>
      <c r="BX127" s="159">
        <f t="shared" si="472"/>
        <v>1935688.75</v>
      </c>
      <c r="BY127" s="159">
        <f t="shared" si="473"/>
        <v>61428.33</v>
      </c>
      <c r="BZ127" s="159">
        <f t="shared" si="474"/>
        <v>65062.73</v>
      </c>
      <c r="CA127" s="158">
        <f t="shared" si="475"/>
        <v>980241.98499999987</v>
      </c>
      <c r="CB127" s="157">
        <f t="shared" si="476"/>
        <v>961925.4299999997</v>
      </c>
      <c r="CC127" s="144"/>
      <c r="CD127" s="158">
        <f t="shared" si="477"/>
        <v>2111560.8243436264</v>
      </c>
      <c r="CE127" s="159">
        <f t="shared" si="478"/>
        <v>2113412.6575991251</v>
      </c>
      <c r="CF127" s="159">
        <f t="shared" si="479"/>
        <v>64941.594334857</v>
      </c>
      <c r="CG127" s="159">
        <f t="shared" si="331"/>
        <v>65062.73</v>
      </c>
      <c r="CH127" s="158">
        <f t="shared" si="480"/>
        <v>1088744.4515694021</v>
      </c>
      <c r="CI127" s="157">
        <f t="shared" si="481"/>
        <v>1088311.7771718132</v>
      </c>
      <c r="CK127" s="61">
        <f t="shared" si="482"/>
        <v>8.7699735387647415E-4</v>
      </c>
      <c r="CL127" s="62">
        <f t="shared" si="483"/>
        <v>-0.96927169234964661</v>
      </c>
      <c r="CM127" s="63">
        <f t="shared" si="484"/>
        <v>1.8653016819758506E-3</v>
      </c>
      <c r="CN127" s="61">
        <f t="shared" si="485"/>
        <v>-0.96918737587385173</v>
      </c>
      <c r="CO127" s="29"/>
      <c r="CP127" s="61">
        <f t="shared" si="486"/>
        <v>8.8952627239539321E-4</v>
      </c>
      <c r="CQ127" s="62">
        <f t="shared" si="487"/>
        <v>9.1000427531406696E-4</v>
      </c>
      <c r="CR127" s="63">
        <f t="shared" si="488"/>
        <v>2.6968507463839298E-5</v>
      </c>
      <c r="CS127" s="61">
        <f t="shared" si="489"/>
        <v>2.6882832498479317E-5</v>
      </c>
      <c r="CU127" s="60">
        <f t="shared" si="346"/>
        <v>100</v>
      </c>
      <c r="CV127" s="132">
        <f t="shared" si="347"/>
        <v>100.08769973538764</v>
      </c>
      <c r="CW127" s="132">
        <f t="shared" si="348"/>
        <v>3.0755256294851909</v>
      </c>
      <c r="CX127" s="131">
        <f t="shared" si="349"/>
        <v>3.0812624126148291</v>
      </c>
    </row>
    <row r="128" spans="1:102">
      <c r="A128" s="214">
        <v>459</v>
      </c>
      <c r="B128" s="214" t="s">
        <v>6</v>
      </c>
      <c r="C128" s="215" t="s">
        <v>157</v>
      </c>
      <c r="D128" s="216">
        <v>1</v>
      </c>
      <c r="E128" s="57">
        <f>VLOOKUP(A128,AuxOPEXSaneparOriginal!$B$4:$F$177,3,0)</f>
        <v>0</v>
      </c>
      <c r="F128" s="156">
        <f>VLOOKUP(A128,AuxOPEXSaneparOriginal!$B$4:$F$177,4,0)</f>
        <v>0</v>
      </c>
      <c r="G128" s="57">
        <f>VLOOKUP(A128,AuxOPEXSaneparOriginal!$B$4:$K$177,8,0)</f>
        <v>0</v>
      </c>
      <c r="H128" s="156">
        <f>VLOOKUP(A128,AuxOPEXSaneparOriginal!$B$4:$K$177,9,0)</f>
        <v>0</v>
      </c>
      <c r="I128" s="57">
        <f>VLOOKUP(A128,AuxOPEXSaneparOriginal!$B$4:$N$177,13,0)</f>
        <v>0</v>
      </c>
      <c r="J128" s="57">
        <f>VLOOKUP(A128,AuxOPEXSaneparOriginal!$B$4:$Q$177,16,0)</f>
        <v>1381298.7</v>
      </c>
      <c r="K128" s="57">
        <f>VLOOKUP(A128,AuxOPEXSaneparOriginal!$B$4:$V$177,21,0)</f>
        <v>0</v>
      </c>
      <c r="L128" s="157">
        <f t="shared" si="442"/>
        <v>1381298.7</v>
      </c>
      <c r="M128" s="19">
        <f>VLOOKUP(A128,AuxOPEXSaneparOriginal!$B$4:$AB$177,27,0)</f>
        <v>0</v>
      </c>
      <c r="N128" s="156">
        <f>VLOOKUP(A128,AuxOPEXSaneparOriginal!$B$4:$AC$177,28,0)</f>
        <v>0</v>
      </c>
      <c r="O128" s="156">
        <f>VLOOKUP(A128,AuxOPEXSaneparOriginal!$B$4:$AD$177,29,0)</f>
        <v>0</v>
      </c>
      <c r="P128" s="156">
        <f>VLOOKUP(A128,AuxOPEXSaneparOriginal!$B$4:$AE$177,30,0)</f>
        <v>0</v>
      </c>
      <c r="Q128" s="146">
        <f>VLOOKUP(A128,AuxOPEXSaneparOriginal!$B$4:$AF$177,31,0)</f>
        <v>0</v>
      </c>
      <c r="R128" s="146">
        <f>VLOOKUP(A128,AuxOPEXSaneparOriginal!$B$4:$AG$177,32,0)</f>
        <v>1008813.84</v>
      </c>
      <c r="S128" s="146">
        <f>VLOOKUP(A128,AuxOPEXSaneparOriginal!$B$4:$AH$177,33,0)</f>
        <v>0</v>
      </c>
      <c r="T128" s="157">
        <f t="shared" si="443"/>
        <v>1008813.84</v>
      </c>
      <c r="U128" s="156">
        <f>VLOOKUP(A128,AuxOPEXSaneparOriginal!$B$4:$AI$177,34,0)</f>
        <v>0</v>
      </c>
      <c r="V128" s="156">
        <f>VLOOKUP(A128,AuxOPEXSaneparOriginal!$B$4:$AJ$177,35,0)</f>
        <v>0</v>
      </c>
      <c r="W128" s="156">
        <f>VLOOKUP(A128,AuxOPEXSaneparOriginal!$B$4:$AK$177,36,0)</f>
        <v>0</v>
      </c>
      <c r="X128" s="19">
        <f>+VLOOKUP(A128,AuxOPEXSaneparOriginal!$B$4:$AL$177,37,0)</f>
        <v>0</v>
      </c>
      <c r="Y128" s="146">
        <f>VLOOKUP(A128,AuxOPEXSaneparOriginal!$B$4:$AM$177,38,0)</f>
        <v>0</v>
      </c>
      <c r="Z128" s="146">
        <f>VLOOKUP(A128,AuxOPEXSaneparOriginal!$B$4:$AN$177,39,0)</f>
        <v>1983416.22</v>
      </c>
      <c r="AA128" s="146">
        <f>VLOOKUP(A128,AuxOPEXSaneparOriginal!$B$4:$AO$177,40,0)</f>
        <v>0</v>
      </c>
      <c r="AB128" s="157">
        <f t="shared" si="444"/>
        <v>1983416.22</v>
      </c>
      <c r="AC128" s="156">
        <f>VLOOKUP(A128,AuxOPEXSaneparOriginal!$B$4:$AP$177,41,0)</f>
        <v>0</v>
      </c>
      <c r="AD128" s="156">
        <f>+VLOOKUP(A128,AuxOPEXSaneparOriginal!$B$4:$AQ$177,42,0)</f>
        <v>0</v>
      </c>
      <c r="AE128" s="156">
        <f>VLOOKUP(A128,AuxOPEXSaneparOriginal!$B$4:$AR$177,43,0)</f>
        <v>0</v>
      </c>
      <c r="AF128" s="156">
        <f>+VLOOKUP(A128,AuxOPEXSaneparOriginal!$B$4:$AS$177,44,0)</f>
        <v>0</v>
      </c>
      <c r="AG128" s="146">
        <f>VLOOKUP(A128,AuxOPEXSaneparOriginal!$B$4:$AT$177,45,0)</f>
        <v>0</v>
      </c>
      <c r="AH128" s="146">
        <f>VLOOKUP(A128,AuxOPEXSaneparOriginal!$B$4:$AU$177,46,0)</f>
        <v>1247739.25</v>
      </c>
      <c r="AI128" s="146">
        <f>VLOOKUP(A128,AuxOPEXSaneparOriginal!$B$4:$AV$177,47,0)</f>
        <v>0</v>
      </c>
      <c r="AJ128" s="157">
        <f t="shared" si="445"/>
        <v>1247739.25</v>
      </c>
      <c r="AK128" s="157">
        <f t="shared" si="342"/>
        <v>1405317.0024999999</v>
      </c>
      <c r="AL128" s="157">
        <f t="shared" si="343"/>
        <v>1615577.7349999999</v>
      </c>
      <c r="AM128" s="144"/>
      <c r="AN128" s="167">
        <f t="shared" si="290"/>
        <v>0</v>
      </c>
      <c r="AO128" s="168">
        <f t="shared" si="291"/>
        <v>0</v>
      </c>
      <c r="AP128" s="57">
        <f t="shared" si="292"/>
        <v>0</v>
      </c>
      <c r="AQ128" s="57">
        <f t="shared" si="293"/>
        <v>0</v>
      </c>
      <c r="AR128" s="57">
        <f t="shared" si="294"/>
        <v>0</v>
      </c>
      <c r="AS128" s="57">
        <f t="shared" si="295"/>
        <v>0</v>
      </c>
      <c r="AT128" s="57">
        <f t="shared" si="296"/>
        <v>0</v>
      </c>
      <c r="AU128" s="157">
        <f t="shared" si="446"/>
        <v>0</v>
      </c>
      <c r="AV128" s="57">
        <f t="shared" si="447"/>
        <v>0</v>
      </c>
      <c r="AW128" s="57">
        <f t="shared" si="448"/>
        <v>0</v>
      </c>
      <c r="AX128" s="57">
        <f t="shared" si="449"/>
        <v>0</v>
      </c>
      <c r="AY128" s="57">
        <f t="shared" si="450"/>
        <v>0</v>
      </c>
      <c r="AZ128" s="57">
        <f t="shared" si="451"/>
        <v>0</v>
      </c>
      <c r="BA128" s="57">
        <f t="shared" si="452"/>
        <v>0</v>
      </c>
      <c r="BB128" s="57">
        <f t="shared" si="453"/>
        <v>0</v>
      </c>
      <c r="BC128" s="157">
        <f t="shared" si="454"/>
        <v>0</v>
      </c>
      <c r="BD128" s="57">
        <f t="shared" si="455"/>
        <v>0</v>
      </c>
      <c r="BE128" s="57">
        <f t="shared" si="456"/>
        <v>0</v>
      </c>
      <c r="BF128" s="57">
        <f t="shared" si="457"/>
        <v>0</v>
      </c>
      <c r="BG128" s="57">
        <f t="shared" si="458"/>
        <v>0</v>
      </c>
      <c r="BH128" s="57">
        <f t="shared" si="459"/>
        <v>0</v>
      </c>
      <c r="BI128" s="57">
        <f t="shared" si="460"/>
        <v>0</v>
      </c>
      <c r="BJ128" s="57">
        <f t="shared" si="461"/>
        <v>0</v>
      </c>
      <c r="BK128" s="157">
        <f t="shared" si="462"/>
        <v>0</v>
      </c>
      <c r="BL128" s="57">
        <f t="shared" si="463"/>
        <v>0</v>
      </c>
      <c r="BM128" s="57">
        <f t="shared" si="464"/>
        <v>0</v>
      </c>
      <c r="BN128" s="57">
        <f t="shared" si="465"/>
        <v>0</v>
      </c>
      <c r="BO128" s="57">
        <f t="shared" si="466"/>
        <v>0</v>
      </c>
      <c r="BP128" s="57">
        <f t="shared" si="467"/>
        <v>0</v>
      </c>
      <c r="BQ128" s="57">
        <f t="shared" si="468"/>
        <v>0</v>
      </c>
      <c r="BR128" s="57">
        <f t="shared" si="469"/>
        <v>0</v>
      </c>
      <c r="BS128" s="157">
        <f t="shared" si="470"/>
        <v>0</v>
      </c>
      <c r="BT128" s="157">
        <f t="shared" si="344"/>
        <v>0</v>
      </c>
      <c r="BU128" s="157">
        <f t="shared" si="345"/>
        <v>0</v>
      </c>
      <c r="BV128" s="144"/>
      <c r="BW128" s="158">
        <f t="shared" si="471"/>
        <v>0</v>
      </c>
      <c r="BX128" s="159">
        <f t="shared" si="472"/>
        <v>0</v>
      </c>
      <c r="BY128" s="159">
        <f t="shared" si="473"/>
        <v>0</v>
      </c>
      <c r="BZ128" s="159">
        <f t="shared" si="474"/>
        <v>0</v>
      </c>
      <c r="CA128" s="158">
        <f t="shared" si="475"/>
        <v>0</v>
      </c>
      <c r="CB128" s="157">
        <f t="shared" si="476"/>
        <v>0</v>
      </c>
      <c r="CC128" s="144"/>
      <c r="CD128" s="158">
        <f t="shared" si="477"/>
        <v>0</v>
      </c>
      <c r="CE128" s="159">
        <f t="shared" si="478"/>
        <v>0</v>
      </c>
      <c r="CF128" s="159">
        <f t="shared" si="479"/>
        <v>0</v>
      </c>
      <c r="CG128" s="159">
        <f t="shared" si="331"/>
        <v>0</v>
      </c>
      <c r="CH128" s="158">
        <f t="shared" si="480"/>
        <v>0</v>
      </c>
      <c r="CI128" s="157">
        <f t="shared" si="481"/>
        <v>0</v>
      </c>
      <c r="CK128" s="61">
        <f t="shared" si="482"/>
        <v>0</v>
      </c>
      <c r="CL128" s="62">
        <f t="shared" si="483"/>
        <v>0</v>
      </c>
      <c r="CM128" s="63">
        <f t="shared" si="484"/>
        <v>0</v>
      </c>
      <c r="CN128" s="61">
        <f t="shared" si="485"/>
        <v>0</v>
      </c>
      <c r="CO128" s="29"/>
      <c r="CP128" s="61">
        <f t="shared" si="486"/>
        <v>0</v>
      </c>
      <c r="CQ128" s="62">
        <f t="shared" si="487"/>
        <v>0</v>
      </c>
      <c r="CR128" s="63">
        <f t="shared" si="488"/>
        <v>0</v>
      </c>
      <c r="CS128" s="61">
        <f t="shared" si="489"/>
        <v>0</v>
      </c>
      <c r="CU128" s="60">
        <f t="shared" si="346"/>
        <v>0</v>
      </c>
      <c r="CV128" s="132">
        <f t="shared" si="347"/>
        <v>0</v>
      </c>
      <c r="CW128" s="132">
        <f t="shared" si="348"/>
        <v>0</v>
      </c>
      <c r="CX128" s="131">
        <f t="shared" si="349"/>
        <v>0</v>
      </c>
    </row>
    <row r="129" spans="1:102">
      <c r="A129" s="64">
        <v>461</v>
      </c>
      <c r="B129" s="64" t="s">
        <v>6</v>
      </c>
      <c r="C129" s="65" t="s">
        <v>158</v>
      </c>
      <c r="D129" s="66">
        <v>1</v>
      </c>
      <c r="E129" s="57">
        <f>VLOOKUP(A129,AuxOPEXSaneparOriginal!$B$4:$F$177,3,0)</f>
        <v>0</v>
      </c>
      <c r="F129" s="156">
        <f>VLOOKUP(A129,AuxOPEXSaneparOriginal!$B$4:$F$177,4,0)</f>
        <v>0</v>
      </c>
      <c r="G129" s="57">
        <f>VLOOKUP(A129,AuxOPEXSaneparOriginal!$B$4:$K$177,8,0)</f>
        <v>0</v>
      </c>
      <c r="H129" s="156">
        <f>VLOOKUP(A129,AuxOPEXSaneparOriginal!$B$4:$K$177,9,0)</f>
        <v>0</v>
      </c>
      <c r="I129" s="57">
        <f>VLOOKUP(A129,AuxOPEXSaneparOriginal!$B$4:$N$177,13,0)</f>
        <v>0</v>
      </c>
      <c r="J129" s="57">
        <f>VLOOKUP(A129,AuxOPEXSaneparOriginal!$B$4:$Q$177,16,0)</f>
        <v>14259203.160000004</v>
      </c>
      <c r="K129" s="57">
        <f>VLOOKUP(A129,AuxOPEXSaneparOriginal!$B$4:$V$177,21,0)</f>
        <v>0</v>
      </c>
      <c r="L129" s="157">
        <f t="shared" si="442"/>
        <v>14259203.160000004</v>
      </c>
      <c r="M129" s="19">
        <f>VLOOKUP(A129,AuxOPEXSaneparOriginal!$B$4:$AB$177,27,0)</f>
        <v>0</v>
      </c>
      <c r="N129" s="156">
        <f>VLOOKUP(A129,AuxOPEXSaneparOriginal!$B$4:$AC$177,28,0)</f>
        <v>0</v>
      </c>
      <c r="O129" s="156">
        <f>VLOOKUP(A129,AuxOPEXSaneparOriginal!$B$4:$AD$177,29,0)</f>
        <v>0</v>
      </c>
      <c r="P129" s="156">
        <f>VLOOKUP(A129,AuxOPEXSaneparOriginal!$B$4:$AE$177,30,0)</f>
        <v>0</v>
      </c>
      <c r="Q129" s="146">
        <f>VLOOKUP(A129,AuxOPEXSaneparOriginal!$B$4:$AF$177,31,0)</f>
        <v>0</v>
      </c>
      <c r="R129" s="146">
        <f>VLOOKUP(A129,AuxOPEXSaneparOriginal!$B$4:$AG$177,32,0)</f>
        <v>20834063.759999979</v>
      </c>
      <c r="S129" s="146">
        <f>VLOOKUP(A129,AuxOPEXSaneparOriginal!$B$4:$AH$177,33,0)</f>
        <v>0</v>
      </c>
      <c r="T129" s="157">
        <f t="shared" si="443"/>
        <v>20834063.759999979</v>
      </c>
      <c r="U129" s="156">
        <f>VLOOKUP(A129,AuxOPEXSaneparOriginal!$B$4:$AI$177,34,0)</f>
        <v>0</v>
      </c>
      <c r="V129" s="156">
        <f>VLOOKUP(A129,AuxOPEXSaneparOriginal!$B$4:$AJ$177,35,0)</f>
        <v>0</v>
      </c>
      <c r="W129" s="156">
        <f>VLOOKUP(A129,AuxOPEXSaneparOriginal!$B$4:$AK$177,36,0)</f>
        <v>0</v>
      </c>
      <c r="X129" s="19">
        <f>+VLOOKUP(A129,AuxOPEXSaneparOriginal!$B$4:$AL$177,37,0)</f>
        <v>0</v>
      </c>
      <c r="Y129" s="146">
        <f>VLOOKUP(A129,AuxOPEXSaneparOriginal!$B$4:$AM$177,38,0)</f>
        <v>0</v>
      </c>
      <c r="Z129" s="146">
        <f>VLOOKUP(A129,AuxOPEXSaneparOriginal!$B$4:$AN$177,39,0)</f>
        <v>22394083.919999998</v>
      </c>
      <c r="AA129" s="146">
        <f>VLOOKUP(A129,AuxOPEXSaneparOriginal!$B$4:$AO$177,40,0)</f>
        <v>0</v>
      </c>
      <c r="AB129" s="157">
        <f t="shared" si="444"/>
        <v>22394083.919999998</v>
      </c>
      <c r="AC129" s="156">
        <f>VLOOKUP(A129,AuxOPEXSaneparOriginal!$B$4:$AP$177,41,0)</f>
        <v>0</v>
      </c>
      <c r="AD129" s="156">
        <f>+VLOOKUP(A129,AuxOPEXSaneparOriginal!$B$4:$AQ$177,42,0)</f>
        <v>0</v>
      </c>
      <c r="AE129" s="156">
        <f>VLOOKUP(A129,AuxOPEXSaneparOriginal!$B$4:$AR$177,43,0)</f>
        <v>0</v>
      </c>
      <c r="AF129" s="156">
        <f>+VLOOKUP(A129,AuxOPEXSaneparOriginal!$B$4:$AS$177,44,0)</f>
        <v>0</v>
      </c>
      <c r="AG129" s="146">
        <f>VLOOKUP(A129,AuxOPEXSaneparOriginal!$B$4:$AT$177,45,0)</f>
        <v>0</v>
      </c>
      <c r="AH129" s="146">
        <f>VLOOKUP(A129,AuxOPEXSaneparOriginal!$B$4:$AU$177,46,0)</f>
        <v>25372822.099999983</v>
      </c>
      <c r="AI129" s="146">
        <f>VLOOKUP(A129,AuxOPEXSaneparOriginal!$B$4:$AV$177,47,0)</f>
        <v>0</v>
      </c>
      <c r="AJ129" s="157">
        <f t="shared" si="445"/>
        <v>25372822.099999983</v>
      </c>
      <c r="AK129" s="157">
        <f t="shared" si="342"/>
        <v>20715043.234999992</v>
      </c>
      <c r="AL129" s="157">
        <f t="shared" si="343"/>
        <v>23883453.00999999</v>
      </c>
      <c r="AM129" s="144"/>
      <c r="AN129" s="167">
        <f t="shared" si="290"/>
        <v>0</v>
      </c>
      <c r="AO129" s="168">
        <f t="shared" si="291"/>
        <v>0</v>
      </c>
      <c r="AP129" s="57">
        <f t="shared" si="292"/>
        <v>0</v>
      </c>
      <c r="AQ129" s="57">
        <f t="shared" si="293"/>
        <v>0</v>
      </c>
      <c r="AR129" s="57">
        <f t="shared" si="294"/>
        <v>0</v>
      </c>
      <c r="AS129" s="57">
        <f t="shared" si="295"/>
        <v>0</v>
      </c>
      <c r="AT129" s="57">
        <f t="shared" si="296"/>
        <v>0</v>
      </c>
      <c r="AU129" s="157">
        <f t="shared" si="446"/>
        <v>0</v>
      </c>
      <c r="AV129" s="57">
        <f t="shared" si="447"/>
        <v>0</v>
      </c>
      <c r="AW129" s="57">
        <f t="shared" si="448"/>
        <v>0</v>
      </c>
      <c r="AX129" s="57">
        <f t="shared" si="449"/>
        <v>0</v>
      </c>
      <c r="AY129" s="57">
        <f t="shared" si="450"/>
        <v>0</v>
      </c>
      <c r="AZ129" s="57">
        <f t="shared" si="451"/>
        <v>0</v>
      </c>
      <c r="BA129" s="57">
        <f t="shared" si="452"/>
        <v>0</v>
      </c>
      <c r="BB129" s="57">
        <f t="shared" si="453"/>
        <v>0</v>
      </c>
      <c r="BC129" s="157">
        <f t="shared" si="454"/>
        <v>0</v>
      </c>
      <c r="BD129" s="57">
        <f t="shared" si="455"/>
        <v>0</v>
      </c>
      <c r="BE129" s="57">
        <f t="shared" si="456"/>
        <v>0</v>
      </c>
      <c r="BF129" s="57">
        <f t="shared" si="457"/>
        <v>0</v>
      </c>
      <c r="BG129" s="57">
        <f t="shared" si="458"/>
        <v>0</v>
      </c>
      <c r="BH129" s="57">
        <f t="shared" si="459"/>
        <v>0</v>
      </c>
      <c r="BI129" s="57">
        <f t="shared" si="460"/>
        <v>0</v>
      </c>
      <c r="BJ129" s="57">
        <f t="shared" si="461"/>
        <v>0</v>
      </c>
      <c r="BK129" s="157">
        <f t="shared" si="462"/>
        <v>0</v>
      </c>
      <c r="BL129" s="57">
        <f t="shared" si="463"/>
        <v>0</v>
      </c>
      <c r="BM129" s="57">
        <f t="shared" si="464"/>
        <v>0</v>
      </c>
      <c r="BN129" s="57">
        <f t="shared" si="465"/>
        <v>0</v>
      </c>
      <c r="BO129" s="57">
        <f t="shared" si="466"/>
        <v>0</v>
      </c>
      <c r="BP129" s="57">
        <f t="shared" si="467"/>
        <v>0</v>
      </c>
      <c r="BQ129" s="57">
        <f t="shared" si="468"/>
        <v>0</v>
      </c>
      <c r="BR129" s="57">
        <f t="shared" si="469"/>
        <v>0</v>
      </c>
      <c r="BS129" s="157">
        <f t="shared" si="470"/>
        <v>0</v>
      </c>
      <c r="BT129" s="157">
        <f t="shared" si="344"/>
        <v>0</v>
      </c>
      <c r="BU129" s="157">
        <f t="shared" si="345"/>
        <v>0</v>
      </c>
      <c r="BV129" s="144"/>
      <c r="BW129" s="158">
        <f t="shared" si="471"/>
        <v>0</v>
      </c>
      <c r="BX129" s="159">
        <f t="shared" si="472"/>
        <v>0</v>
      </c>
      <c r="BY129" s="159">
        <f t="shared" si="473"/>
        <v>0</v>
      </c>
      <c r="BZ129" s="159">
        <f t="shared" si="474"/>
        <v>0</v>
      </c>
      <c r="CA129" s="158">
        <f t="shared" si="475"/>
        <v>0</v>
      </c>
      <c r="CB129" s="157">
        <f t="shared" si="476"/>
        <v>0</v>
      </c>
      <c r="CC129" s="144"/>
      <c r="CD129" s="158">
        <f t="shared" si="477"/>
        <v>0</v>
      </c>
      <c r="CE129" s="159">
        <f t="shared" si="478"/>
        <v>0</v>
      </c>
      <c r="CF129" s="159">
        <f t="shared" si="479"/>
        <v>0</v>
      </c>
      <c r="CG129" s="159">
        <f t="shared" si="331"/>
        <v>0</v>
      </c>
      <c r="CH129" s="158">
        <f t="shared" si="480"/>
        <v>0</v>
      </c>
      <c r="CI129" s="157">
        <f t="shared" si="481"/>
        <v>0</v>
      </c>
      <c r="CK129" s="61">
        <f t="shared" si="482"/>
        <v>0</v>
      </c>
      <c r="CL129" s="62">
        <f t="shared" si="483"/>
        <v>0</v>
      </c>
      <c r="CM129" s="63">
        <f t="shared" si="484"/>
        <v>0</v>
      </c>
      <c r="CN129" s="61">
        <f t="shared" si="485"/>
        <v>0</v>
      </c>
      <c r="CO129" s="29"/>
      <c r="CP129" s="61">
        <f t="shared" si="486"/>
        <v>0</v>
      </c>
      <c r="CQ129" s="62">
        <f t="shared" si="487"/>
        <v>0</v>
      </c>
      <c r="CR129" s="63">
        <f t="shared" si="488"/>
        <v>0</v>
      </c>
      <c r="CS129" s="61">
        <f t="shared" si="489"/>
        <v>0</v>
      </c>
      <c r="CU129" s="60">
        <f t="shared" si="346"/>
        <v>0</v>
      </c>
      <c r="CV129" s="132">
        <f t="shared" si="347"/>
        <v>0</v>
      </c>
      <c r="CW129" s="132">
        <f t="shared" si="348"/>
        <v>0</v>
      </c>
      <c r="CX129" s="131">
        <f t="shared" si="349"/>
        <v>0</v>
      </c>
    </row>
    <row r="130" spans="1:102">
      <c r="A130" s="64" t="s">
        <v>159</v>
      </c>
      <c r="B130" s="64" t="s">
        <v>6</v>
      </c>
      <c r="C130" s="65" t="s">
        <v>160</v>
      </c>
      <c r="D130" s="66">
        <v>1</v>
      </c>
      <c r="E130" s="57">
        <f>VLOOKUP(A130,AuxOPEXSaneparOriginal!$B$4:$F$177,3,0)</f>
        <v>0</v>
      </c>
      <c r="F130" s="156">
        <f>VLOOKUP(A130,AuxOPEXSaneparOriginal!$B$4:$F$177,4,0)</f>
        <v>0</v>
      </c>
      <c r="G130" s="57">
        <f>VLOOKUP(A130,AuxOPEXSaneparOriginal!$B$4:$K$177,8,0)</f>
        <v>0</v>
      </c>
      <c r="H130" s="156">
        <f>VLOOKUP(A130,AuxOPEXSaneparOriginal!$B$4:$K$177,9,0)</f>
        <v>0</v>
      </c>
      <c r="I130" s="57">
        <f>VLOOKUP(A130,AuxOPEXSaneparOriginal!$B$4:$N$177,13,0)</f>
        <v>0</v>
      </c>
      <c r="J130" s="57">
        <f>VLOOKUP(A130,AuxOPEXSaneparOriginal!$B$4:$Q$177,16,0)</f>
        <v>0</v>
      </c>
      <c r="K130" s="57">
        <f>VLOOKUP(A130,AuxOPEXSaneparOriginal!$B$4:$V$177,21,0)</f>
        <v>165089745.06999999</v>
      </c>
      <c r="L130" s="157">
        <f t="shared" si="442"/>
        <v>165089745.06999999</v>
      </c>
      <c r="M130" s="19">
        <f>VLOOKUP(A130,AuxOPEXSaneparOriginal!$B$4:$AB$177,27,0)</f>
        <v>0</v>
      </c>
      <c r="N130" s="156">
        <f>VLOOKUP(A130,AuxOPEXSaneparOriginal!$B$4:$AC$177,28,0)</f>
        <v>0</v>
      </c>
      <c r="O130" s="156">
        <f>VLOOKUP(A130,AuxOPEXSaneparOriginal!$B$4:$AD$177,29,0)</f>
        <v>0</v>
      </c>
      <c r="P130" s="156">
        <f>VLOOKUP(A130,AuxOPEXSaneparOriginal!$B$4:$AE$177,30,0)</f>
        <v>0</v>
      </c>
      <c r="Q130" s="146">
        <f>VLOOKUP(A130,AuxOPEXSaneparOriginal!$B$4:$AF$177,31,0)</f>
        <v>0</v>
      </c>
      <c r="R130" s="146">
        <f>VLOOKUP(A130,AuxOPEXSaneparOriginal!$B$4:$AG$177,32,0)</f>
        <v>0</v>
      </c>
      <c r="S130" s="146">
        <f>VLOOKUP(A130,AuxOPEXSaneparOriginal!$B$4:$AH$177,33,0)</f>
        <v>197543890.81999999</v>
      </c>
      <c r="T130" s="157">
        <f t="shared" si="443"/>
        <v>197543890.81999999</v>
      </c>
      <c r="U130" s="156">
        <f>VLOOKUP(A130,AuxOPEXSaneparOriginal!$B$4:$AI$177,34,0)</f>
        <v>0</v>
      </c>
      <c r="V130" s="156">
        <f>VLOOKUP(A130,AuxOPEXSaneparOriginal!$B$4:$AJ$177,35,0)</f>
        <v>0</v>
      </c>
      <c r="W130" s="156">
        <f>VLOOKUP(A130,AuxOPEXSaneparOriginal!$B$4:$AK$177,36,0)</f>
        <v>0</v>
      </c>
      <c r="X130" s="19">
        <f>+VLOOKUP(A130,AuxOPEXSaneparOriginal!$B$4:$AL$177,37,0)</f>
        <v>0</v>
      </c>
      <c r="Y130" s="146">
        <f>VLOOKUP(A130,AuxOPEXSaneparOriginal!$B$4:$AM$177,38,0)</f>
        <v>0</v>
      </c>
      <c r="Z130" s="146">
        <f>VLOOKUP(A130,AuxOPEXSaneparOriginal!$B$4:$AN$177,39,0)</f>
        <v>0</v>
      </c>
      <c r="AA130" s="146">
        <f>VLOOKUP(A130,AuxOPEXSaneparOriginal!$B$4:$AO$177,40,0)</f>
        <v>271346548.44</v>
      </c>
      <c r="AB130" s="157">
        <f t="shared" si="444"/>
        <v>271346548.44</v>
      </c>
      <c r="AC130" s="156">
        <f>VLOOKUP(A130,AuxOPEXSaneparOriginal!$B$4:$AP$177,41,0)</f>
        <v>0</v>
      </c>
      <c r="AD130" s="156">
        <f>+VLOOKUP(A130,AuxOPEXSaneparOriginal!$B$4:$AQ$177,42,0)</f>
        <v>0</v>
      </c>
      <c r="AE130" s="156">
        <f>VLOOKUP(A130,AuxOPEXSaneparOriginal!$B$4:$AR$177,43,0)</f>
        <v>0</v>
      </c>
      <c r="AF130" s="156">
        <f>+VLOOKUP(A130,AuxOPEXSaneparOriginal!$B$4:$AS$177,44,0)</f>
        <v>0</v>
      </c>
      <c r="AG130" s="146">
        <f>VLOOKUP(A130,AuxOPEXSaneparOriginal!$B$4:$AT$177,45,0)</f>
        <v>0</v>
      </c>
      <c r="AH130" s="146">
        <f>VLOOKUP(A130,AuxOPEXSaneparOriginal!$B$4:$AU$177,46,0)</f>
        <v>0</v>
      </c>
      <c r="AI130" s="146">
        <f>VLOOKUP(A130,AuxOPEXSaneparOriginal!$B$4:$AV$177,47,0)</f>
        <v>271417964.31</v>
      </c>
      <c r="AJ130" s="157">
        <f t="shared" si="445"/>
        <v>271417964.31</v>
      </c>
      <c r="AK130" s="157">
        <f t="shared" si="342"/>
        <v>226349537.15999997</v>
      </c>
      <c r="AL130" s="157">
        <f t="shared" si="343"/>
        <v>271382256.375</v>
      </c>
      <c r="AM130" s="144"/>
      <c r="AN130" s="167">
        <f t="shared" si="290"/>
        <v>0</v>
      </c>
      <c r="AO130" s="168">
        <f t="shared" si="291"/>
        <v>0</v>
      </c>
      <c r="AP130" s="57">
        <f t="shared" si="292"/>
        <v>0</v>
      </c>
      <c r="AQ130" s="57">
        <f t="shared" si="293"/>
        <v>0</v>
      </c>
      <c r="AR130" s="57">
        <f t="shared" si="294"/>
        <v>0</v>
      </c>
      <c r="AS130" s="57">
        <f t="shared" si="295"/>
        <v>0</v>
      </c>
      <c r="AT130" s="57">
        <f t="shared" si="296"/>
        <v>0</v>
      </c>
      <c r="AU130" s="157">
        <f t="shared" si="446"/>
        <v>0</v>
      </c>
      <c r="AV130" s="57">
        <f t="shared" si="447"/>
        <v>0</v>
      </c>
      <c r="AW130" s="57">
        <f t="shared" si="448"/>
        <v>0</v>
      </c>
      <c r="AX130" s="57">
        <f t="shared" si="449"/>
        <v>0</v>
      </c>
      <c r="AY130" s="57">
        <f t="shared" si="450"/>
        <v>0</v>
      </c>
      <c r="AZ130" s="57">
        <f t="shared" si="451"/>
        <v>0</v>
      </c>
      <c r="BA130" s="57">
        <f t="shared" si="452"/>
        <v>0</v>
      </c>
      <c r="BB130" s="57">
        <f t="shared" si="453"/>
        <v>0</v>
      </c>
      <c r="BC130" s="157">
        <f t="shared" si="454"/>
        <v>0</v>
      </c>
      <c r="BD130" s="57">
        <f t="shared" si="455"/>
        <v>0</v>
      </c>
      <c r="BE130" s="57">
        <f t="shared" si="456"/>
        <v>0</v>
      </c>
      <c r="BF130" s="57">
        <f t="shared" si="457"/>
        <v>0</v>
      </c>
      <c r="BG130" s="57">
        <f t="shared" si="458"/>
        <v>0</v>
      </c>
      <c r="BH130" s="57">
        <f t="shared" si="459"/>
        <v>0</v>
      </c>
      <c r="BI130" s="57">
        <f t="shared" si="460"/>
        <v>0</v>
      </c>
      <c r="BJ130" s="57">
        <f t="shared" si="461"/>
        <v>0</v>
      </c>
      <c r="BK130" s="157">
        <f t="shared" si="462"/>
        <v>0</v>
      </c>
      <c r="BL130" s="57">
        <f t="shared" si="463"/>
        <v>0</v>
      </c>
      <c r="BM130" s="57">
        <f t="shared" si="464"/>
        <v>0</v>
      </c>
      <c r="BN130" s="57">
        <f t="shared" si="465"/>
        <v>0</v>
      </c>
      <c r="BO130" s="57">
        <f t="shared" si="466"/>
        <v>0</v>
      </c>
      <c r="BP130" s="57">
        <f t="shared" si="467"/>
        <v>0</v>
      </c>
      <c r="BQ130" s="57">
        <f t="shared" si="468"/>
        <v>0</v>
      </c>
      <c r="BR130" s="57">
        <f t="shared" si="469"/>
        <v>0</v>
      </c>
      <c r="BS130" s="157">
        <f t="shared" si="470"/>
        <v>0</v>
      </c>
      <c r="BT130" s="157">
        <f t="shared" si="344"/>
        <v>0</v>
      </c>
      <c r="BU130" s="157">
        <f t="shared" si="345"/>
        <v>0</v>
      </c>
      <c r="BV130" s="144"/>
      <c r="BW130" s="158">
        <f t="shared" si="471"/>
        <v>0</v>
      </c>
      <c r="BX130" s="159">
        <f t="shared" si="472"/>
        <v>0</v>
      </c>
      <c r="BY130" s="159">
        <f t="shared" si="473"/>
        <v>0</v>
      </c>
      <c r="BZ130" s="159">
        <f t="shared" si="474"/>
        <v>0</v>
      </c>
      <c r="CA130" s="158">
        <f t="shared" si="475"/>
        <v>0</v>
      </c>
      <c r="CB130" s="157">
        <f t="shared" si="476"/>
        <v>0</v>
      </c>
      <c r="CC130" s="144"/>
      <c r="CD130" s="158">
        <f t="shared" si="477"/>
        <v>0</v>
      </c>
      <c r="CE130" s="159">
        <f t="shared" si="478"/>
        <v>0</v>
      </c>
      <c r="CF130" s="159">
        <f t="shared" si="479"/>
        <v>0</v>
      </c>
      <c r="CG130" s="159">
        <f t="shared" si="331"/>
        <v>0</v>
      </c>
      <c r="CH130" s="158">
        <f t="shared" si="480"/>
        <v>0</v>
      </c>
      <c r="CI130" s="157">
        <f t="shared" si="481"/>
        <v>0</v>
      </c>
      <c r="CK130" s="61">
        <f t="shared" si="482"/>
        <v>0</v>
      </c>
      <c r="CL130" s="62">
        <f t="shared" si="483"/>
        <v>0</v>
      </c>
      <c r="CM130" s="63">
        <f t="shared" si="484"/>
        <v>0</v>
      </c>
      <c r="CN130" s="61">
        <f t="shared" si="485"/>
        <v>0</v>
      </c>
      <c r="CO130" s="29"/>
      <c r="CP130" s="61">
        <f t="shared" si="486"/>
        <v>0</v>
      </c>
      <c r="CQ130" s="62">
        <f t="shared" si="487"/>
        <v>0</v>
      </c>
      <c r="CR130" s="63">
        <f t="shared" si="488"/>
        <v>0</v>
      </c>
      <c r="CS130" s="61">
        <f t="shared" si="489"/>
        <v>0</v>
      </c>
      <c r="CU130" s="60">
        <f t="shared" si="346"/>
        <v>0</v>
      </c>
      <c r="CV130" s="132">
        <f t="shared" si="347"/>
        <v>0</v>
      </c>
      <c r="CW130" s="132">
        <f t="shared" si="348"/>
        <v>0</v>
      </c>
      <c r="CX130" s="131">
        <f t="shared" si="349"/>
        <v>0</v>
      </c>
    </row>
    <row r="131" spans="1:102">
      <c r="A131" s="64" t="s">
        <v>161</v>
      </c>
      <c r="B131" s="64" t="s">
        <v>6</v>
      </c>
      <c r="C131" s="65" t="s">
        <v>162</v>
      </c>
      <c r="D131" s="66">
        <v>1</v>
      </c>
      <c r="E131" s="57">
        <f>VLOOKUP(A131,AuxOPEXSaneparOriginal!$B$4:$F$177,3,0)</f>
        <v>0</v>
      </c>
      <c r="F131" s="156">
        <f>VLOOKUP(A131,AuxOPEXSaneparOriginal!$B$4:$F$177,4,0)</f>
        <v>0</v>
      </c>
      <c r="G131" s="57">
        <f>VLOOKUP(A131,AuxOPEXSaneparOriginal!$B$4:$K$177,8,0)</f>
        <v>0</v>
      </c>
      <c r="H131" s="156">
        <f>VLOOKUP(A131,AuxOPEXSaneparOriginal!$B$4:$K$177,9,0)</f>
        <v>0</v>
      </c>
      <c r="I131" s="57">
        <f>VLOOKUP(A131,AuxOPEXSaneparOriginal!$B$4:$N$177,13,0)</f>
        <v>0</v>
      </c>
      <c r="J131" s="57">
        <f>VLOOKUP(A131,AuxOPEXSaneparOriginal!$B$4:$Q$177,16,0)</f>
        <v>0</v>
      </c>
      <c r="K131" s="57">
        <f>VLOOKUP(A131,AuxOPEXSaneparOriginal!$B$4:$V$177,21,0)</f>
        <v>62811666.520000003</v>
      </c>
      <c r="L131" s="157">
        <f t="shared" si="442"/>
        <v>62811666.520000003</v>
      </c>
      <c r="M131" s="19">
        <f>VLOOKUP(A131,AuxOPEXSaneparOriginal!$B$4:$AB$177,27,0)</f>
        <v>0</v>
      </c>
      <c r="N131" s="156">
        <f>VLOOKUP(A131,AuxOPEXSaneparOriginal!$B$4:$AC$177,28,0)</f>
        <v>0</v>
      </c>
      <c r="O131" s="156">
        <f>VLOOKUP(A131,AuxOPEXSaneparOriginal!$B$4:$AD$177,29,0)</f>
        <v>0</v>
      </c>
      <c r="P131" s="156">
        <f>VLOOKUP(A131,AuxOPEXSaneparOriginal!$B$4:$AE$177,30,0)</f>
        <v>0</v>
      </c>
      <c r="Q131" s="146">
        <f>VLOOKUP(A131,AuxOPEXSaneparOriginal!$B$4:$AF$177,31,0)</f>
        <v>0</v>
      </c>
      <c r="R131" s="146">
        <f>VLOOKUP(A131,AuxOPEXSaneparOriginal!$B$4:$AG$177,32,0)</f>
        <v>0</v>
      </c>
      <c r="S131" s="146">
        <f>VLOOKUP(A131,AuxOPEXSaneparOriginal!$B$4:$AH$177,33,0)</f>
        <v>74970675.939999998</v>
      </c>
      <c r="T131" s="157">
        <f t="shared" si="443"/>
        <v>74970675.939999998</v>
      </c>
      <c r="U131" s="156">
        <f>VLOOKUP(A131,AuxOPEXSaneparOriginal!$B$4:$AI$177,34,0)</f>
        <v>0</v>
      </c>
      <c r="V131" s="156">
        <f>VLOOKUP(A131,AuxOPEXSaneparOriginal!$B$4:$AJ$177,35,0)</f>
        <v>0</v>
      </c>
      <c r="W131" s="156">
        <f>VLOOKUP(A131,AuxOPEXSaneparOriginal!$B$4:$AK$177,36,0)</f>
        <v>0</v>
      </c>
      <c r="X131" s="19">
        <f>+VLOOKUP(A131,AuxOPEXSaneparOriginal!$B$4:$AL$177,37,0)</f>
        <v>0</v>
      </c>
      <c r="Y131" s="146">
        <f>VLOOKUP(A131,AuxOPEXSaneparOriginal!$B$4:$AM$177,38,0)</f>
        <v>0</v>
      </c>
      <c r="Z131" s="146">
        <f>VLOOKUP(A131,AuxOPEXSaneparOriginal!$B$4:$AN$177,39,0)</f>
        <v>0</v>
      </c>
      <c r="AA131" s="146">
        <f>VLOOKUP(A131,AuxOPEXSaneparOriginal!$B$4:$AO$177,40,0)</f>
        <v>102504425.59999999</v>
      </c>
      <c r="AB131" s="157">
        <f t="shared" si="444"/>
        <v>102504425.59999999</v>
      </c>
      <c r="AC131" s="156">
        <f>VLOOKUP(A131,AuxOPEXSaneparOriginal!$B$4:$AP$177,41,0)</f>
        <v>0</v>
      </c>
      <c r="AD131" s="156">
        <f>+VLOOKUP(A131,AuxOPEXSaneparOriginal!$B$4:$AQ$177,42,0)</f>
        <v>0</v>
      </c>
      <c r="AE131" s="156">
        <f>VLOOKUP(A131,AuxOPEXSaneparOriginal!$B$4:$AR$177,43,0)</f>
        <v>0</v>
      </c>
      <c r="AF131" s="156">
        <f>+VLOOKUP(A131,AuxOPEXSaneparOriginal!$B$4:$AS$177,44,0)</f>
        <v>0</v>
      </c>
      <c r="AG131" s="146">
        <f>VLOOKUP(A131,AuxOPEXSaneparOriginal!$B$4:$AT$177,45,0)</f>
        <v>0</v>
      </c>
      <c r="AH131" s="146">
        <f>VLOOKUP(A131,AuxOPEXSaneparOriginal!$B$4:$AU$177,46,0)</f>
        <v>0</v>
      </c>
      <c r="AI131" s="146">
        <f>VLOOKUP(A131,AuxOPEXSaneparOriginal!$B$4:$AV$177,47,0)</f>
        <v>97994309.260000005</v>
      </c>
      <c r="AJ131" s="157">
        <f t="shared" si="445"/>
        <v>97994309.260000005</v>
      </c>
      <c r="AK131" s="157">
        <f t="shared" si="342"/>
        <v>84570269.329999998</v>
      </c>
      <c r="AL131" s="157">
        <f t="shared" si="343"/>
        <v>100249367.43000001</v>
      </c>
      <c r="AM131" s="144"/>
      <c r="AN131" s="167">
        <f t="shared" si="290"/>
        <v>0</v>
      </c>
      <c r="AO131" s="168">
        <f t="shared" si="291"/>
        <v>0</v>
      </c>
      <c r="AP131" s="57">
        <f t="shared" si="292"/>
        <v>0</v>
      </c>
      <c r="AQ131" s="57">
        <f t="shared" si="293"/>
        <v>0</v>
      </c>
      <c r="AR131" s="57">
        <f t="shared" si="294"/>
        <v>0</v>
      </c>
      <c r="AS131" s="57">
        <f t="shared" si="295"/>
        <v>0</v>
      </c>
      <c r="AT131" s="57">
        <f t="shared" si="296"/>
        <v>0</v>
      </c>
      <c r="AU131" s="157">
        <f t="shared" si="446"/>
        <v>0</v>
      </c>
      <c r="AV131" s="57">
        <f t="shared" si="447"/>
        <v>0</v>
      </c>
      <c r="AW131" s="57">
        <f t="shared" si="448"/>
        <v>0</v>
      </c>
      <c r="AX131" s="57">
        <f t="shared" si="449"/>
        <v>0</v>
      </c>
      <c r="AY131" s="57">
        <f t="shared" si="450"/>
        <v>0</v>
      </c>
      <c r="AZ131" s="57">
        <f t="shared" si="451"/>
        <v>0</v>
      </c>
      <c r="BA131" s="57">
        <f t="shared" si="452"/>
        <v>0</v>
      </c>
      <c r="BB131" s="57">
        <f t="shared" si="453"/>
        <v>0</v>
      </c>
      <c r="BC131" s="157">
        <f t="shared" si="454"/>
        <v>0</v>
      </c>
      <c r="BD131" s="57">
        <f t="shared" si="455"/>
        <v>0</v>
      </c>
      <c r="BE131" s="57">
        <f t="shared" si="456"/>
        <v>0</v>
      </c>
      <c r="BF131" s="57">
        <f t="shared" si="457"/>
        <v>0</v>
      </c>
      <c r="BG131" s="57">
        <f t="shared" si="458"/>
        <v>0</v>
      </c>
      <c r="BH131" s="57">
        <f t="shared" si="459"/>
        <v>0</v>
      </c>
      <c r="BI131" s="57">
        <f t="shared" si="460"/>
        <v>0</v>
      </c>
      <c r="BJ131" s="57">
        <f t="shared" si="461"/>
        <v>0</v>
      </c>
      <c r="BK131" s="157">
        <f t="shared" si="462"/>
        <v>0</v>
      </c>
      <c r="BL131" s="57">
        <f t="shared" si="463"/>
        <v>0</v>
      </c>
      <c r="BM131" s="57">
        <f t="shared" si="464"/>
        <v>0</v>
      </c>
      <c r="BN131" s="57">
        <f t="shared" si="465"/>
        <v>0</v>
      </c>
      <c r="BO131" s="57">
        <f t="shared" si="466"/>
        <v>0</v>
      </c>
      <c r="BP131" s="57">
        <f t="shared" si="467"/>
        <v>0</v>
      </c>
      <c r="BQ131" s="57">
        <f t="shared" si="468"/>
        <v>0</v>
      </c>
      <c r="BR131" s="57">
        <f t="shared" si="469"/>
        <v>0</v>
      </c>
      <c r="BS131" s="157">
        <f t="shared" si="470"/>
        <v>0</v>
      </c>
      <c r="BT131" s="157">
        <f t="shared" si="344"/>
        <v>0</v>
      </c>
      <c r="BU131" s="157">
        <f t="shared" si="345"/>
        <v>0</v>
      </c>
      <c r="BV131" s="144"/>
      <c r="BW131" s="158">
        <f t="shared" si="471"/>
        <v>0</v>
      </c>
      <c r="BX131" s="159">
        <f t="shared" si="472"/>
        <v>0</v>
      </c>
      <c r="BY131" s="159">
        <f t="shared" si="473"/>
        <v>0</v>
      </c>
      <c r="BZ131" s="159">
        <f t="shared" si="474"/>
        <v>0</v>
      </c>
      <c r="CA131" s="158">
        <f t="shared" si="475"/>
        <v>0</v>
      </c>
      <c r="CB131" s="157">
        <f t="shared" si="476"/>
        <v>0</v>
      </c>
      <c r="CC131" s="144"/>
      <c r="CD131" s="158">
        <f t="shared" si="477"/>
        <v>0</v>
      </c>
      <c r="CE131" s="159">
        <f t="shared" si="478"/>
        <v>0</v>
      </c>
      <c r="CF131" s="159">
        <f t="shared" si="479"/>
        <v>0</v>
      </c>
      <c r="CG131" s="159">
        <f t="shared" si="331"/>
        <v>0</v>
      </c>
      <c r="CH131" s="158">
        <f t="shared" si="480"/>
        <v>0</v>
      </c>
      <c r="CI131" s="157">
        <f t="shared" si="481"/>
        <v>0</v>
      </c>
      <c r="CK131" s="61">
        <f t="shared" si="482"/>
        <v>0</v>
      </c>
      <c r="CL131" s="62">
        <f t="shared" si="483"/>
        <v>0</v>
      </c>
      <c r="CM131" s="63">
        <f t="shared" si="484"/>
        <v>0</v>
      </c>
      <c r="CN131" s="61">
        <f t="shared" si="485"/>
        <v>0</v>
      </c>
      <c r="CO131" s="29"/>
      <c r="CP131" s="61">
        <f t="shared" si="486"/>
        <v>0</v>
      </c>
      <c r="CQ131" s="62">
        <f t="shared" si="487"/>
        <v>0</v>
      </c>
      <c r="CR131" s="63">
        <f t="shared" si="488"/>
        <v>0</v>
      </c>
      <c r="CS131" s="61">
        <f t="shared" si="489"/>
        <v>0</v>
      </c>
      <c r="CU131" s="60">
        <f t="shared" si="346"/>
        <v>0</v>
      </c>
      <c r="CV131" s="132">
        <f t="shared" si="347"/>
        <v>0</v>
      </c>
      <c r="CW131" s="132">
        <f t="shared" si="348"/>
        <v>0</v>
      </c>
      <c r="CX131" s="131">
        <f t="shared" si="349"/>
        <v>0</v>
      </c>
    </row>
    <row r="132" spans="1:102">
      <c r="A132" s="29">
        <v>402</v>
      </c>
      <c r="B132" s="29" t="s">
        <v>6</v>
      </c>
      <c r="C132" s="55" t="s">
        <v>163</v>
      </c>
      <c r="D132" s="56">
        <v>0</v>
      </c>
      <c r="E132" s="57">
        <f>VLOOKUP(A132,AuxOPEXSaneparOriginal!$B$4:$F$177,3,0)</f>
        <v>713546.88999999978</v>
      </c>
      <c r="F132" s="156">
        <f>VLOOKUP(A132,AuxOPEXSaneparOriginal!$B$4:$F$177,4,0)</f>
        <v>623053.45999999985</v>
      </c>
      <c r="G132" s="57">
        <f>VLOOKUP(A132,AuxOPEXSaneparOriginal!$B$4:$K$177,8,0)</f>
        <v>256479.60999999996</v>
      </c>
      <c r="H132" s="156">
        <f>VLOOKUP(A132,AuxOPEXSaneparOriginal!$B$4:$K$177,9,0)</f>
        <v>377126.13999999996</v>
      </c>
      <c r="I132" s="57">
        <f>VLOOKUP(A132,AuxOPEXSaneparOriginal!$B$4:$N$177,13,0)</f>
        <v>562672.15000000049</v>
      </c>
      <c r="J132" s="57">
        <f>VLOOKUP(A132,AuxOPEXSaneparOriginal!$B$4:$Q$177,16,0)</f>
        <v>9041321.1400000006</v>
      </c>
      <c r="K132" s="57">
        <f>VLOOKUP(A132,AuxOPEXSaneparOriginal!$B$4:$V$177,21,0)</f>
        <v>0</v>
      </c>
      <c r="L132" s="157">
        <f t="shared" si="442"/>
        <v>11574199.390000001</v>
      </c>
      <c r="M132" s="19">
        <f>VLOOKUP(A132,AuxOPEXSaneparOriginal!$B$4:$AB$177,27,0)</f>
        <v>806795.50999999943</v>
      </c>
      <c r="N132" s="156">
        <f>VLOOKUP(A132,AuxOPEXSaneparOriginal!$B$4:$AC$177,28,0)</f>
        <v>502992.80999999982</v>
      </c>
      <c r="O132" s="156">
        <f>VLOOKUP(A132,AuxOPEXSaneparOriginal!$B$4:$AD$177,29,0)</f>
        <v>231658.84999999995</v>
      </c>
      <c r="P132" s="156">
        <f>VLOOKUP(A132,AuxOPEXSaneparOriginal!$B$4:$AE$177,30,0)</f>
        <v>473571.20999999985</v>
      </c>
      <c r="Q132" s="146">
        <f>VLOOKUP(A132,AuxOPEXSaneparOriginal!$B$4:$AF$177,31,0)</f>
        <v>626949.48000000021</v>
      </c>
      <c r="R132" s="146">
        <f>VLOOKUP(A132,AuxOPEXSaneparOriginal!$B$4:$AG$177,32,0)</f>
        <v>8770774.0400000028</v>
      </c>
      <c r="S132" s="146">
        <f>VLOOKUP(A132,AuxOPEXSaneparOriginal!$B$4:$AH$177,33,0)</f>
        <v>0</v>
      </c>
      <c r="T132" s="157">
        <f t="shared" si="443"/>
        <v>11412741.900000002</v>
      </c>
      <c r="U132" s="156">
        <f>VLOOKUP(A132,AuxOPEXSaneparOriginal!$B$4:$AI$177,34,0)</f>
        <v>912141.19999999949</v>
      </c>
      <c r="V132" s="156">
        <f>VLOOKUP(A132,AuxOPEXSaneparOriginal!$B$4:$AJ$177,35,0)</f>
        <v>551735.31000000017</v>
      </c>
      <c r="W132" s="156">
        <f>VLOOKUP(A132,AuxOPEXSaneparOriginal!$B$4:$AK$177,36,0)</f>
        <v>245368.16</v>
      </c>
      <c r="X132" s="19">
        <f>+VLOOKUP(A132,AuxOPEXSaneparOriginal!$B$4:$AL$177,37,0)</f>
        <v>477931.68000000011</v>
      </c>
      <c r="Y132" s="146">
        <f>VLOOKUP(A132,AuxOPEXSaneparOriginal!$B$4:$AM$177,38,0)</f>
        <v>697266.70999999985</v>
      </c>
      <c r="Z132" s="146">
        <f>VLOOKUP(A132,AuxOPEXSaneparOriginal!$B$4:$AN$177,39,0)</f>
        <v>7481548.6199999992</v>
      </c>
      <c r="AA132" s="146">
        <f>VLOOKUP(A132,AuxOPEXSaneparOriginal!$B$4:$AO$177,40,0)</f>
        <v>0</v>
      </c>
      <c r="AB132" s="157">
        <f t="shared" si="444"/>
        <v>10365991.68</v>
      </c>
      <c r="AC132" s="156">
        <f>VLOOKUP(A132,AuxOPEXSaneparOriginal!$B$4:$AP$177,41,0)</f>
        <v>535357.31000000006</v>
      </c>
      <c r="AD132" s="156">
        <f>+VLOOKUP(A132,AuxOPEXSaneparOriginal!$B$4:$AQ$177,42,0)</f>
        <v>341127.99</v>
      </c>
      <c r="AE132" s="156">
        <f>VLOOKUP(A132,AuxOPEXSaneparOriginal!$B$4:$AR$177,43,0)</f>
        <v>220301.0400000001</v>
      </c>
      <c r="AF132" s="156">
        <f>+VLOOKUP(A132,AuxOPEXSaneparOriginal!$B$4:$AS$177,44,0)</f>
        <v>208005.84999999995</v>
      </c>
      <c r="AG132" s="146">
        <f>VLOOKUP(A132,AuxOPEXSaneparOriginal!$B$4:$AT$177,45,0)</f>
        <v>495815.10999999987</v>
      </c>
      <c r="AH132" s="146">
        <f>VLOOKUP(A132,AuxOPEXSaneparOriginal!$B$4:$AU$177,46,0)</f>
        <v>3610496.43</v>
      </c>
      <c r="AI132" s="146">
        <f>VLOOKUP(A132,AuxOPEXSaneparOriginal!$B$4:$AV$177,47,0)</f>
        <v>0</v>
      </c>
      <c r="AJ132" s="157">
        <f t="shared" si="445"/>
        <v>5411103.7300000004</v>
      </c>
      <c r="AK132" s="157">
        <f t="shared" si="342"/>
        <v>9691009.1750000007</v>
      </c>
      <c r="AL132" s="157">
        <f t="shared" si="343"/>
        <v>7888547.7050000001</v>
      </c>
      <c r="AM132" s="144"/>
      <c r="AN132" s="167">
        <f t="shared" si="290"/>
        <v>713546.88999999978</v>
      </c>
      <c r="AO132" s="168">
        <f t="shared" si="291"/>
        <v>623053.45999999985</v>
      </c>
      <c r="AP132" s="57">
        <f t="shared" si="292"/>
        <v>256479.60999999996</v>
      </c>
      <c r="AQ132" s="57">
        <f t="shared" si="293"/>
        <v>377126.13999999996</v>
      </c>
      <c r="AR132" s="57">
        <f t="shared" si="294"/>
        <v>562672.15000000049</v>
      </c>
      <c r="AS132" s="57">
        <f t="shared" si="295"/>
        <v>9041321.1400000006</v>
      </c>
      <c r="AT132" s="57">
        <f t="shared" si="296"/>
        <v>0</v>
      </c>
      <c r="AU132" s="157">
        <f t="shared" si="446"/>
        <v>11574199.390000001</v>
      </c>
      <c r="AV132" s="57">
        <f t="shared" si="447"/>
        <v>806795.50999999943</v>
      </c>
      <c r="AW132" s="57">
        <f t="shared" si="448"/>
        <v>502992.80999999982</v>
      </c>
      <c r="AX132" s="57">
        <f t="shared" si="449"/>
        <v>231658.84999999995</v>
      </c>
      <c r="AY132" s="57">
        <f t="shared" si="450"/>
        <v>473571.20999999985</v>
      </c>
      <c r="AZ132" s="57">
        <f t="shared" si="451"/>
        <v>626949.48000000021</v>
      </c>
      <c r="BA132" s="57">
        <f t="shared" si="452"/>
        <v>8770774.0400000028</v>
      </c>
      <c r="BB132" s="57">
        <f t="shared" si="453"/>
        <v>0</v>
      </c>
      <c r="BC132" s="157">
        <f t="shared" si="454"/>
        <v>11412741.900000002</v>
      </c>
      <c r="BD132" s="57">
        <f t="shared" si="455"/>
        <v>912141.19999999949</v>
      </c>
      <c r="BE132" s="57">
        <f t="shared" si="456"/>
        <v>551735.31000000017</v>
      </c>
      <c r="BF132" s="57">
        <f t="shared" si="457"/>
        <v>245368.16</v>
      </c>
      <c r="BG132" s="57">
        <f t="shared" si="458"/>
        <v>477931.68000000011</v>
      </c>
      <c r="BH132" s="57">
        <f t="shared" si="459"/>
        <v>697266.70999999985</v>
      </c>
      <c r="BI132" s="57">
        <f t="shared" si="460"/>
        <v>7481548.6199999992</v>
      </c>
      <c r="BJ132" s="57">
        <f t="shared" si="461"/>
        <v>0</v>
      </c>
      <c r="BK132" s="157">
        <f t="shared" si="462"/>
        <v>10365991.68</v>
      </c>
      <c r="BL132" s="57">
        <f t="shared" si="463"/>
        <v>535357.31000000006</v>
      </c>
      <c r="BM132" s="57">
        <f t="shared" si="464"/>
        <v>341127.99</v>
      </c>
      <c r="BN132" s="57">
        <f t="shared" si="465"/>
        <v>220301.0400000001</v>
      </c>
      <c r="BO132" s="57">
        <f t="shared" si="466"/>
        <v>208005.84999999995</v>
      </c>
      <c r="BP132" s="57">
        <f t="shared" si="467"/>
        <v>495815.10999999987</v>
      </c>
      <c r="BQ132" s="57">
        <f t="shared" si="468"/>
        <v>3610496.43</v>
      </c>
      <c r="BR132" s="57">
        <f t="shared" si="469"/>
        <v>0</v>
      </c>
      <c r="BS132" s="157">
        <f t="shared" si="470"/>
        <v>5411103.7300000004</v>
      </c>
      <c r="BT132" s="157">
        <f t="shared" si="344"/>
        <v>9691009.1750000007</v>
      </c>
      <c r="BU132" s="157">
        <f t="shared" si="345"/>
        <v>7888547.7050000001</v>
      </c>
      <c r="BV132" s="144"/>
      <c r="BW132" s="158">
        <f t="shared" si="471"/>
        <v>11574199.390000001</v>
      </c>
      <c r="BX132" s="159">
        <f t="shared" si="472"/>
        <v>11412741.900000002</v>
      </c>
      <c r="BY132" s="159">
        <f t="shared" si="473"/>
        <v>10365991.68</v>
      </c>
      <c r="BZ132" s="159">
        <f t="shared" si="474"/>
        <v>5411103.7300000004</v>
      </c>
      <c r="CA132" s="158">
        <f t="shared" si="475"/>
        <v>9691009.1750000007</v>
      </c>
      <c r="CB132" s="157">
        <f t="shared" si="476"/>
        <v>10889366.790000001</v>
      </c>
      <c r="CC132" s="144"/>
      <c r="CD132" s="158">
        <f t="shared" si="477"/>
        <v>13148150.459227381</v>
      </c>
      <c r="CE132" s="159">
        <f t="shared" si="478"/>
        <v>12460594.808629172</v>
      </c>
      <c r="CF132" s="159">
        <f t="shared" si="479"/>
        <v>10958852.805555072</v>
      </c>
      <c r="CG132" s="159">
        <f t="shared" si="331"/>
        <v>5411103.7300000004</v>
      </c>
      <c r="CH132" s="158">
        <f t="shared" si="480"/>
        <v>10494675.450852908</v>
      </c>
      <c r="CI132" s="157">
        <f t="shared" si="481"/>
        <v>11709723.807092123</v>
      </c>
      <c r="CK132" s="61">
        <f t="shared" si="482"/>
        <v>-5.2292955783425965E-2</v>
      </c>
      <c r="CL132" s="62">
        <f t="shared" si="483"/>
        <v>-0.12051928709166582</v>
      </c>
      <c r="CM132" s="63">
        <f t="shared" si="484"/>
        <v>-0.50623447307759273</v>
      </c>
      <c r="CN132" s="61">
        <f t="shared" si="485"/>
        <v>-0.58845133794445714</v>
      </c>
      <c r="CO132" s="29"/>
      <c r="CP132" s="61">
        <f t="shared" si="486"/>
        <v>5.538853123270019E-3</v>
      </c>
      <c r="CQ132" s="62">
        <f t="shared" si="487"/>
        <v>5.365348081945504E-3</v>
      </c>
      <c r="CR132" s="63">
        <f t="shared" si="488"/>
        <v>4.5509185092965426E-3</v>
      </c>
      <c r="CS132" s="61">
        <f t="shared" si="489"/>
        <v>2.2357776134737453E-3</v>
      </c>
      <c r="CU132" s="60">
        <f t="shared" si="346"/>
        <v>100</v>
      </c>
      <c r="CV132" s="132">
        <f t="shared" si="347"/>
        <v>94.770704421657399</v>
      </c>
      <c r="CW132" s="132">
        <f t="shared" si="348"/>
        <v>83.349006687584264</v>
      </c>
      <c r="CX132" s="131">
        <f t="shared" si="349"/>
        <v>41.154866205554285</v>
      </c>
    </row>
    <row r="133" spans="1:102">
      <c r="A133" s="29">
        <v>403</v>
      </c>
      <c r="B133" s="29" t="s">
        <v>6</v>
      </c>
      <c r="C133" s="55" t="s">
        <v>164</v>
      </c>
      <c r="D133" s="56">
        <v>0</v>
      </c>
      <c r="E133" s="57">
        <f>VLOOKUP(A133,AuxOPEXSaneparOriginal!$B$4:$F$177,3,0)</f>
        <v>1338487.4300000004</v>
      </c>
      <c r="F133" s="156">
        <f>VLOOKUP(A133,AuxOPEXSaneparOriginal!$B$4:$F$177,4,0)</f>
        <v>1641235.9599999976</v>
      </c>
      <c r="G133" s="57">
        <f>VLOOKUP(A133,AuxOPEXSaneparOriginal!$B$4:$K$177,8,0)</f>
        <v>514193.31999999977</v>
      </c>
      <c r="H133" s="156">
        <f>VLOOKUP(A133,AuxOPEXSaneparOriginal!$B$4:$K$177,9,0)</f>
        <v>612939.85000000021</v>
      </c>
      <c r="I133" s="57">
        <f>VLOOKUP(A133,AuxOPEXSaneparOriginal!$B$4:$N$177,13,0)</f>
        <v>1388807.5399999989</v>
      </c>
      <c r="J133" s="57">
        <f>VLOOKUP(A133,AuxOPEXSaneparOriginal!$B$4:$Q$177,16,0)</f>
        <v>3249798.0699999994</v>
      </c>
      <c r="K133" s="57">
        <f>VLOOKUP(A133,AuxOPEXSaneparOriginal!$B$4:$V$177,21,0)</f>
        <v>0</v>
      </c>
      <c r="L133" s="157">
        <f t="shared" si="442"/>
        <v>8745462.1699999962</v>
      </c>
      <c r="M133" s="19">
        <f>VLOOKUP(A133,AuxOPEXSaneparOriginal!$B$4:$AB$177,27,0)</f>
        <v>1329837.1100000001</v>
      </c>
      <c r="N133" s="156">
        <f>VLOOKUP(A133,AuxOPEXSaneparOriginal!$B$4:$AC$177,28,0)</f>
        <v>1584916.8800000004</v>
      </c>
      <c r="O133" s="156">
        <f>VLOOKUP(A133,AuxOPEXSaneparOriginal!$B$4:$AD$177,29,0)</f>
        <v>538281.21</v>
      </c>
      <c r="P133" s="156">
        <f>VLOOKUP(A133,AuxOPEXSaneparOriginal!$B$4:$AE$177,30,0)</f>
        <v>661340.76000000047</v>
      </c>
      <c r="Q133" s="146">
        <f>VLOOKUP(A133,AuxOPEXSaneparOriginal!$B$4:$AF$177,31,0)</f>
        <v>1457628.060000001</v>
      </c>
      <c r="R133" s="146">
        <f>VLOOKUP(A133,AuxOPEXSaneparOriginal!$B$4:$AG$177,32,0)</f>
        <v>2982694.9399999995</v>
      </c>
      <c r="S133" s="146">
        <f>VLOOKUP(A133,AuxOPEXSaneparOriginal!$B$4:$AH$177,33,0)</f>
        <v>0</v>
      </c>
      <c r="T133" s="157">
        <f t="shared" si="443"/>
        <v>8554698.9600000009</v>
      </c>
      <c r="U133" s="156">
        <f>VLOOKUP(A133,AuxOPEXSaneparOriginal!$B$4:$AI$177,34,0)</f>
        <v>1019819.4899999996</v>
      </c>
      <c r="V133" s="156">
        <f>VLOOKUP(A133,AuxOPEXSaneparOriginal!$B$4:$AJ$177,35,0)</f>
        <v>1215869.94</v>
      </c>
      <c r="W133" s="156">
        <f>VLOOKUP(A133,AuxOPEXSaneparOriginal!$B$4:$AK$177,36,0)</f>
        <v>491883.02000000025</v>
      </c>
      <c r="X133" s="19">
        <f>+VLOOKUP(A133,AuxOPEXSaneparOriginal!$B$4:$AL$177,37,0)</f>
        <v>490821.16999999993</v>
      </c>
      <c r="Y133" s="146">
        <f>VLOOKUP(A133,AuxOPEXSaneparOriginal!$B$4:$AM$177,38,0)</f>
        <v>1115433.1300000004</v>
      </c>
      <c r="Z133" s="146">
        <f>VLOOKUP(A133,AuxOPEXSaneparOriginal!$B$4:$AN$177,39,0)</f>
        <v>2515336.0799999996</v>
      </c>
      <c r="AA133" s="146">
        <f>VLOOKUP(A133,AuxOPEXSaneparOriginal!$B$4:$AO$177,40,0)</f>
        <v>0</v>
      </c>
      <c r="AB133" s="157">
        <f t="shared" si="444"/>
        <v>6849162.8300000001</v>
      </c>
      <c r="AC133" s="156">
        <f>VLOOKUP(A133,AuxOPEXSaneparOriginal!$B$4:$AP$177,41,0)</f>
        <v>404451.38000000024</v>
      </c>
      <c r="AD133" s="156">
        <f>+VLOOKUP(A133,AuxOPEXSaneparOriginal!$B$4:$AQ$177,42,0)</f>
        <v>539210.57000000041</v>
      </c>
      <c r="AE133" s="156">
        <f>VLOOKUP(A133,AuxOPEXSaneparOriginal!$B$4:$AR$177,43,0)</f>
        <v>267175.32999999996</v>
      </c>
      <c r="AF133" s="156">
        <f>+VLOOKUP(A133,AuxOPEXSaneparOriginal!$B$4:$AS$177,44,0)</f>
        <v>190885.20999999993</v>
      </c>
      <c r="AG133" s="146">
        <f>VLOOKUP(A133,AuxOPEXSaneparOriginal!$B$4:$AT$177,45,0)</f>
        <v>259028.89999999988</v>
      </c>
      <c r="AH133" s="146">
        <f>VLOOKUP(A133,AuxOPEXSaneparOriginal!$B$4:$AU$177,46,0)</f>
        <v>1304536.56</v>
      </c>
      <c r="AI133" s="146">
        <f>VLOOKUP(A133,AuxOPEXSaneparOriginal!$B$4:$AV$177,47,0)</f>
        <v>0</v>
      </c>
      <c r="AJ133" s="157">
        <f t="shared" si="445"/>
        <v>2965287.9500000007</v>
      </c>
      <c r="AK133" s="157">
        <f t="shared" ref="AK133:AK164" si="490">AVERAGE(AJ133,AB133,T133,L133)</f>
        <v>6778652.9774999991</v>
      </c>
      <c r="AL133" s="157">
        <f t="shared" ref="AL133:AL164" si="491">AVERAGE(AJ133,AB133)</f>
        <v>4907225.3900000006</v>
      </c>
      <c r="AM133" s="144"/>
      <c r="AN133" s="167">
        <f t="shared" si="290"/>
        <v>1338487.4300000004</v>
      </c>
      <c r="AO133" s="168">
        <f t="shared" si="291"/>
        <v>1641235.9599999976</v>
      </c>
      <c r="AP133" s="57">
        <f t="shared" si="292"/>
        <v>514193.31999999977</v>
      </c>
      <c r="AQ133" s="57">
        <f t="shared" si="293"/>
        <v>612939.85000000021</v>
      </c>
      <c r="AR133" s="57">
        <f t="shared" si="294"/>
        <v>1388807.5399999989</v>
      </c>
      <c r="AS133" s="57">
        <f t="shared" si="295"/>
        <v>3249798.0699999994</v>
      </c>
      <c r="AT133" s="57">
        <f t="shared" si="296"/>
        <v>0</v>
      </c>
      <c r="AU133" s="157">
        <f t="shared" si="446"/>
        <v>8745462.1699999962</v>
      </c>
      <c r="AV133" s="57">
        <f t="shared" si="447"/>
        <v>1329837.1100000001</v>
      </c>
      <c r="AW133" s="57">
        <f t="shared" si="448"/>
        <v>1584916.8800000004</v>
      </c>
      <c r="AX133" s="57">
        <f t="shared" si="449"/>
        <v>538281.21</v>
      </c>
      <c r="AY133" s="57">
        <f t="shared" si="450"/>
        <v>661340.76000000047</v>
      </c>
      <c r="AZ133" s="57">
        <f t="shared" si="451"/>
        <v>1457628.060000001</v>
      </c>
      <c r="BA133" s="57">
        <f t="shared" si="452"/>
        <v>2982694.9399999995</v>
      </c>
      <c r="BB133" s="57">
        <f t="shared" si="453"/>
        <v>0</v>
      </c>
      <c r="BC133" s="157">
        <f t="shared" si="454"/>
        <v>8554698.9600000009</v>
      </c>
      <c r="BD133" s="57">
        <f t="shared" si="455"/>
        <v>1019819.4899999996</v>
      </c>
      <c r="BE133" s="57">
        <f t="shared" si="456"/>
        <v>1215869.94</v>
      </c>
      <c r="BF133" s="57">
        <f t="shared" si="457"/>
        <v>491883.02000000025</v>
      </c>
      <c r="BG133" s="57">
        <f t="shared" si="458"/>
        <v>490821.16999999993</v>
      </c>
      <c r="BH133" s="57">
        <f t="shared" si="459"/>
        <v>1115433.1300000004</v>
      </c>
      <c r="BI133" s="57">
        <f t="shared" si="460"/>
        <v>2515336.0799999996</v>
      </c>
      <c r="BJ133" s="57">
        <f t="shared" si="461"/>
        <v>0</v>
      </c>
      <c r="BK133" s="157">
        <f t="shared" si="462"/>
        <v>6849162.8300000001</v>
      </c>
      <c r="BL133" s="57">
        <f t="shared" si="463"/>
        <v>404451.38000000024</v>
      </c>
      <c r="BM133" s="57">
        <f t="shared" si="464"/>
        <v>539210.57000000041</v>
      </c>
      <c r="BN133" s="57">
        <f t="shared" si="465"/>
        <v>267175.32999999996</v>
      </c>
      <c r="BO133" s="57">
        <f t="shared" si="466"/>
        <v>190885.20999999993</v>
      </c>
      <c r="BP133" s="57">
        <f t="shared" si="467"/>
        <v>259028.89999999988</v>
      </c>
      <c r="BQ133" s="57">
        <f t="shared" si="468"/>
        <v>1304536.56</v>
      </c>
      <c r="BR133" s="57">
        <f t="shared" si="469"/>
        <v>0</v>
      </c>
      <c r="BS133" s="157">
        <f t="shared" si="470"/>
        <v>2965287.9500000007</v>
      </c>
      <c r="BT133" s="157">
        <f t="shared" si="344"/>
        <v>6778652.9774999991</v>
      </c>
      <c r="BU133" s="157">
        <f t="shared" si="345"/>
        <v>4907225.3900000006</v>
      </c>
      <c r="BV133" s="144"/>
      <c r="BW133" s="158">
        <f t="shared" si="471"/>
        <v>8745462.1699999962</v>
      </c>
      <c r="BX133" s="159">
        <f t="shared" si="472"/>
        <v>8554698.9600000009</v>
      </c>
      <c r="BY133" s="159">
        <f t="shared" si="473"/>
        <v>6849162.8300000001</v>
      </c>
      <c r="BZ133" s="159">
        <f t="shared" si="474"/>
        <v>2965287.9500000007</v>
      </c>
      <c r="CA133" s="158">
        <f t="shared" si="475"/>
        <v>6778652.9774999982</v>
      </c>
      <c r="CB133" s="157">
        <f t="shared" si="476"/>
        <v>7701930.8950000005</v>
      </c>
      <c r="CC133" s="144"/>
      <c r="CD133" s="158">
        <f t="shared" si="477"/>
        <v>9934739.2050277386</v>
      </c>
      <c r="CE133" s="159">
        <f t="shared" si="478"/>
        <v>9340142.6567231286</v>
      </c>
      <c r="CF133" s="159">
        <f t="shared" si="479"/>
        <v>7240886.3148199068</v>
      </c>
      <c r="CG133" s="159">
        <f t="shared" si="331"/>
        <v>2965287.9500000007</v>
      </c>
      <c r="CH133" s="158">
        <f t="shared" si="480"/>
        <v>7370264.0316426931</v>
      </c>
      <c r="CI133" s="157">
        <f t="shared" si="481"/>
        <v>8290514.4857715182</v>
      </c>
      <c r="CK133" s="61">
        <f t="shared" si="482"/>
        <v>-5.985024226943958E-2</v>
      </c>
      <c r="CL133" s="62">
        <f t="shared" si="483"/>
        <v>-0.22475634677722567</v>
      </c>
      <c r="CM133" s="63">
        <f t="shared" si="484"/>
        <v>-0.59047997426351628</v>
      </c>
      <c r="CN133" s="61">
        <f t="shared" si="485"/>
        <v>-0.70152332247439997</v>
      </c>
      <c r="CO133" s="29"/>
      <c r="CP133" s="61">
        <f t="shared" si="486"/>
        <v>4.1851560373666824E-3</v>
      </c>
      <c r="CQ133" s="62">
        <f t="shared" si="487"/>
        <v>4.0217274743291256E-3</v>
      </c>
      <c r="CR133" s="63">
        <f t="shared" si="488"/>
        <v>3.0069464512856802E-3</v>
      </c>
      <c r="CS133" s="61">
        <f t="shared" si="489"/>
        <v>1.2252074155143678E-3</v>
      </c>
      <c r="CU133" s="60">
        <f t="shared" ref="CU133:CU164" si="492">IFERROR(+CD133/$CD133*100,0)</f>
        <v>100</v>
      </c>
      <c r="CV133" s="132">
        <f t="shared" ref="CV133:CV164" si="493">IFERROR(+CE133/$CD133*100,0)</f>
        <v>94.014975773056037</v>
      </c>
      <c r="CW133" s="132">
        <f t="shared" ref="CW133:CW164" si="494">IFERROR(+CF133/$CD133*100,0)</f>
        <v>72.884513275954575</v>
      </c>
      <c r="CX133" s="131">
        <f t="shared" ref="CX133:CX164" si="495">IFERROR(+CG133/$CD133*100,0)</f>
        <v>29.84766775256001</v>
      </c>
    </row>
    <row r="134" spans="1:102">
      <c r="A134" s="29">
        <v>404</v>
      </c>
      <c r="B134" s="29" t="s">
        <v>6</v>
      </c>
      <c r="C134" s="55" t="s">
        <v>165</v>
      </c>
      <c r="D134" s="56">
        <v>0</v>
      </c>
      <c r="E134" s="57">
        <f>VLOOKUP(A134,AuxOPEXSaneparOriginal!$B$4:$F$177,3,0)</f>
        <v>11655.6</v>
      </c>
      <c r="F134" s="156">
        <f>VLOOKUP(A134,AuxOPEXSaneparOriginal!$B$4:$F$177,4,0)</f>
        <v>0</v>
      </c>
      <c r="G134" s="57">
        <f>VLOOKUP(A134,AuxOPEXSaneparOriginal!$B$4:$K$177,8,0)</f>
        <v>0</v>
      </c>
      <c r="H134" s="156">
        <f>VLOOKUP(A134,AuxOPEXSaneparOriginal!$B$4:$K$177,9,0)</f>
        <v>0</v>
      </c>
      <c r="I134" s="57">
        <f>VLOOKUP(A134,AuxOPEXSaneparOriginal!$B$4:$N$177,13,0)</f>
        <v>0</v>
      </c>
      <c r="J134" s="57">
        <f>VLOOKUP(A134,AuxOPEXSaneparOriginal!$B$4:$Q$177,16,0)</f>
        <v>310875.11000000004</v>
      </c>
      <c r="K134" s="57">
        <f>VLOOKUP(A134,AuxOPEXSaneparOriginal!$B$4:$V$177,21,0)</f>
        <v>0</v>
      </c>
      <c r="L134" s="157">
        <f t="shared" si="442"/>
        <v>322530.71000000002</v>
      </c>
      <c r="M134" s="19">
        <f>VLOOKUP(A134,AuxOPEXSaneparOriginal!$B$4:$AB$177,27,0)</f>
        <v>16878.690000000002</v>
      </c>
      <c r="N134" s="156">
        <f>VLOOKUP(A134,AuxOPEXSaneparOriginal!$B$4:$AC$177,28,0)</f>
        <v>0</v>
      </c>
      <c r="O134" s="156">
        <f>VLOOKUP(A134,AuxOPEXSaneparOriginal!$B$4:$AD$177,29,0)</f>
        <v>0</v>
      </c>
      <c r="P134" s="156">
        <f>VLOOKUP(A134,AuxOPEXSaneparOriginal!$B$4:$AE$177,30,0)</f>
        <v>0</v>
      </c>
      <c r="Q134" s="146">
        <f>VLOOKUP(A134,AuxOPEXSaneparOriginal!$B$4:$AF$177,31,0)</f>
        <v>0</v>
      </c>
      <c r="R134" s="146">
        <f>VLOOKUP(A134,AuxOPEXSaneparOriginal!$B$4:$AG$177,32,0)</f>
        <v>494500.31000000006</v>
      </c>
      <c r="S134" s="146">
        <f>VLOOKUP(A134,AuxOPEXSaneparOriginal!$B$4:$AH$177,33,0)</f>
        <v>0</v>
      </c>
      <c r="T134" s="157">
        <f t="shared" si="443"/>
        <v>511379.00000000006</v>
      </c>
      <c r="U134" s="156">
        <f>VLOOKUP(A134,AuxOPEXSaneparOriginal!$B$4:$AI$177,34,0)</f>
        <v>9681.41</v>
      </c>
      <c r="V134" s="156">
        <f>VLOOKUP(A134,AuxOPEXSaneparOriginal!$B$4:$AJ$177,35,0)</f>
        <v>0</v>
      </c>
      <c r="W134" s="156">
        <f>VLOOKUP(A134,AuxOPEXSaneparOriginal!$B$4:$AK$177,36,0)</f>
        <v>0</v>
      </c>
      <c r="X134" s="19">
        <f>+VLOOKUP(A134,AuxOPEXSaneparOriginal!$B$4:$AL$177,37,0)</f>
        <v>0</v>
      </c>
      <c r="Y134" s="146">
        <f>VLOOKUP(A134,AuxOPEXSaneparOriginal!$B$4:$AM$177,38,0)</f>
        <v>0</v>
      </c>
      <c r="Z134" s="146">
        <f>VLOOKUP(A134,AuxOPEXSaneparOriginal!$B$4:$AN$177,39,0)</f>
        <v>515549.08</v>
      </c>
      <c r="AA134" s="146">
        <f>VLOOKUP(A134,AuxOPEXSaneparOriginal!$B$4:$AO$177,40,0)</f>
        <v>0</v>
      </c>
      <c r="AB134" s="157">
        <f t="shared" si="444"/>
        <v>525230.49</v>
      </c>
      <c r="AC134" s="156">
        <f>VLOOKUP(A134,AuxOPEXSaneparOriginal!$B$4:$AP$177,41,0)</f>
        <v>10701.15</v>
      </c>
      <c r="AD134" s="156">
        <f>+VLOOKUP(A134,AuxOPEXSaneparOriginal!$B$4:$AQ$177,42,0)</f>
        <v>0</v>
      </c>
      <c r="AE134" s="156">
        <f>VLOOKUP(A134,AuxOPEXSaneparOriginal!$B$4:$AR$177,43,0)</f>
        <v>0</v>
      </c>
      <c r="AF134" s="156">
        <f>+VLOOKUP(A134,AuxOPEXSaneparOriginal!$B$4:$AS$177,44,0)</f>
        <v>0</v>
      </c>
      <c r="AG134" s="146">
        <f>VLOOKUP(A134,AuxOPEXSaneparOriginal!$B$4:$AT$177,45,0)</f>
        <v>0</v>
      </c>
      <c r="AH134" s="146">
        <f>VLOOKUP(A134,AuxOPEXSaneparOriginal!$B$4:$AU$177,46,0)</f>
        <v>571529.46000000008</v>
      </c>
      <c r="AI134" s="146">
        <f>VLOOKUP(A134,AuxOPEXSaneparOriginal!$B$4:$AV$177,47,0)</f>
        <v>0</v>
      </c>
      <c r="AJ134" s="157">
        <f t="shared" si="445"/>
        <v>582230.6100000001</v>
      </c>
      <c r="AK134" s="157">
        <f t="shared" si="490"/>
        <v>485342.70250000001</v>
      </c>
      <c r="AL134" s="157">
        <f t="shared" si="491"/>
        <v>553730.55000000005</v>
      </c>
      <c r="AM134" s="144"/>
      <c r="AN134" s="167">
        <f t="shared" si="290"/>
        <v>11655.6</v>
      </c>
      <c r="AO134" s="168">
        <f t="shared" si="291"/>
        <v>0</v>
      </c>
      <c r="AP134" s="57">
        <f t="shared" si="292"/>
        <v>0</v>
      </c>
      <c r="AQ134" s="57">
        <f t="shared" si="293"/>
        <v>0</v>
      </c>
      <c r="AR134" s="57">
        <f t="shared" si="294"/>
        <v>0</v>
      </c>
      <c r="AS134" s="57">
        <f t="shared" si="295"/>
        <v>310875.11000000004</v>
      </c>
      <c r="AT134" s="57">
        <f t="shared" si="296"/>
        <v>0</v>
      </c>
      <c r="AU134" s="157">
        <f t="shared" si="446"/>
        <v>322530.71000000002</v>
      </c>
      <c r="AV134" s="57">
        <f t="shared" si="447"/>
        <v>16878.690000000002</v>
      </c>
      <c r="AW134" s="57">
        <f t="shared" si="448"/>
        <v>0</v>
      </c>
      <c r="AX134" s="57">
        <f t="shared" si="449"/>
        <v>0</v>
      </c>
      <c r="AY134" s="57">
        <f t="shared" si="450"/>
        <v>0</v>
      </c>
      <c r="AZ134" s="57">
        <f t="shared" si="451"/>
        <v>0</v>
      </c>
      <c r="BA134" s="57">
        <f t="shared" si="452"/>
        <v>494500.31000000006</v>
      </c>
      <c r="BB134" s="57">
        <f t="shared" si="453"/>
        <v>0</v>
      </c>
      <c r="BC134" s="157">
        <f t="shared" si="454"/>
        <v>511379.00000000006</v>
      </c>
      <c r="BD134" s="57">
        <f t="shared" si="455"/>
        <v>9681.41</v>
      </c>
      <c r="BE134" s="57">
        <f t="shared" si="456"/>
        <v>0</v>
      </c>
      <c r="BF134" s="57">
        <f t="shared" si="457"/>
        <v>0</v>
      </c>
      <c r="BG134" s="57">
        <f t="shared" si="458"/>
        <v>0</v>
      </c>
      <c r="BH134" s="57">
        <f t="shared" si="459"/>
        <v>0</v>
      </c>
      <c r="BI134" s="57">
        <f t="shared" si="460"/>
        <v>515549.08</v>
      </c>
      <c r="BJ134" s="57">
        <f t="shared" si="461"/>
        <v>0</v>
      </c>
      <c r="BK134" s="157">
        <f t="shared" si="462"/>
        <v>525230.49</v>
      </c>
      <c r="BL134" s="57">
        <f t="shared" si="463"/>
        <v>10701.15</v>
      </c>
      <c r="BM134" s="57">
        <f t="shared" si="464"/>
        <v>0</v>
      </c>
      <c r="BN134" s="57">
        <f t="shared" si="465"/>
        <v>0</v>
      </c>
      <c r="BO134" s="57">
        <f t="shared" si="466"/>
        <v>0</v>
      </c>
      <c r="BP134" s="57">
        <f t="shared" si="467"/>
        <v>0</v>
      </c>
      <c r="BQ134" s="57">
        <f t="shared" si="468"/>
        <v>571529.46000000008</v>
      </c>
      <c r="BR134" s="57">
        <f t="shared" si="469"/>
        <v>0</v>
      </c>
      <c r="BS134" s="157">
        <f t="shared" si="470"/>
        <v>582230.6100000001</v>
      </c>
      <c r="BT134" s="157">
        <f t="shared" si="344"/>
        <v>485342.70250000001</v>
      </c>
      <c r="BU134" s="157">
        <f t="shared" si="345"/>
        <v>553730.55000000005</v>
      </c>
      <c r="BV134" s="144"/>
      <c r="BW134" s="158">
        <f t="shared" si="471"/>
        <v>322530.71000000002</v>
      </c>
      <c r="BX134" s="159">
        <f t="shared" si="472"/>
        <v>511379.00000000006</v>
      </c>
      <c r="BY134" s="159">
        <f t="shared" si="473"/>
        <v>525230.49</v>
      </c>
      <c r="BZ134" s="159">
        <f t="shared" si="474"/>
        <v>582230.6100000001</v>
      </c>
      <c r="CA134" s="158">
        <f t="shared" si="475"/>
        <v>485342.70250000007</v>
      </c>
      <c r="CB134" s="157">
        <f t="shared" si="476"/>
        <v>518304.745</v>
      </c>
      <c r="CC134" s="144"/>
      <c r="CD134" s="158">
        <f t="shared" si="477"/>
        <v>366390.98393840902</v>
      </c>
      <c r="CE134" s="159">
        <f t="shared" si="478"/>
        <v>558330.90491970011</v>
      </c>
      <c r="CF134" s="159">
        <f t="shared" si="479"/>
        <v>555269.94489152101</v>
      </c>
      <c r="CG134" s="159">
        <f t="shared" si="331"/>
        <v>582230.6100000001</v>
      </c>
      <c r="CH134" s="158">
        <f t="shared" si="480"/>
        <v>515555.61093740753</v>
      </c>
      <c r="CI134" s="157">
        <f t="shared" si="481"/>
        <v>556800.4249056105</v>
      </c>
      <c r="CK134" s="61">
        <f t="shared" si="482"/>
        <v>0.52386638698936028</v>
      </c>
      <c r="CL134" s="62">
        <f t="shared" si="483"/>
        <v>-5.4823403132580051E-3</v>
      </c>
      <c r="CM134" s="63">
        <f t="shared" si="484"/>
        <v>4.8554158849253293E-2</v>
      </c>
      <c r="CN134" s="61">
        <f t="shared" si="485"/>
        <v>0.58909644484558088</v>
      </c>
      <c r="CO134" s="29"/>
      <c r="CP134" s="61">
        <f t="shared" si="486"/>
        <v>1.5434762874203401E-4</v>
      </c>
      <c r="CQ134" s="62">
        <f t="shared" si="487"/>
        <v>2.4040904112597252E-4</v>
      </c>
      <c r="CR134" s="63">
        <f t="shared" si="488"/>
        <v>2.3058875912467379E-4</v>
      </c>
      <c r="CS134" s="61">
        <f t="shared" si="489"/>
        <v>2.4056795594217209E-4</v>
      </c>
      <c r="CU134" s="60">
        <f t="shared" si="492"/>
        <v>100</v>
      </c>
      <c r="CV134" s="132">
        <f t="shared" si="493"/>
        <v>152.38663869893603</v>
      </c>
      <c r="CW134" s="132">
        <f t="shared" si="494"/>
        <v>151.55120328639498</v>
      </c>
      <c r="CX134" s="131">
        <f t="shared" si="495"/>
        <v>158.9096444845581</v>
      </c>
    </row>
    <row r="135" spans="1:102">
      <c r="A135" s="29">
        <v>407</v>
      </c>
      <c r="B135" s="29" t="s">
        <v>6</v>
      </c>
      <c r="C135" s="55" t="s">
        <v>166</v>
      </c>
      <c r="D135" s="56">
        <v>0</v>
      </c>
      <c r="E135" s="57">
        <f>VLOOKUP(A135,AuxOPEXSaneparOriginal!$B$4:$F$177,3,0)</f>
        <v>583.6</v>
      </c>
      <c r="F135" s="156">
        <f>VLOOKUP(A135,AuxOPEXSaneparOriginal!$B$4:$F$177,4,0)</f>
        <v>0</v>
      </c>
      <c r="G135" s="57">
        <f>VLOOKUP(A135,AuxOPEXSaneparOriginal!$B$4:$K$177,8,0)</f>
        <v>0</v>
      </c>
      <c r="H135" s="156">
        <f>VLOOKUP(A135,AuxOPEXSaneparOriginal!$B$4:$K$177,9,0)</f>
        <v>0</v>
      </c>
      <c r="I135" s="57">
        <f>VLOOKUP(A135,AuxOPEXSaneparOriginal!$B$4:$N$177,13,0)</f>
        <v>150</v>
      </c>
      <c r="J135" s="57">
        <f>VLOOKUP(A135,AuxOPEXSaneparOriginal!$B$4:$Q$177,16,0)</f>
        <v>274851.03000000003</v>
      </c>
      <c r="K135" s="57">
        <f>VLOOKUP(A135,AuxOPEXSaneparOriginal!$B$4:$V$177,21,0)</f>
        <v>0</v>
      </c>
      <c r="L135" s="157">
        <f t="shared" si="442"/>
        <v>275584.63</v>
      </c>
      <c r="M135" s="19">
        <f>VLOOKUP(A135,AuxOPEXSaneparOriginal!$B$4:$AB$177,27,0)</f>
        <v>150</v>
      </c>
      <c r="N135" s="156">
        <f>VLOOKUP(A135,AuxOPEXSaneparOriginal!$B$4:$AC$177,28,0)</f>
        <v>0</v>
      </c>
      <c r="O135" s="156">
        <f>VLOOKUP(A135,AuxOPEXSaneparOriginal!$B$4:$AD$177,29,0)</f>
        <v>0</v>
      </c>
      <c r="P135" s="156">
        <f>VLOOKUP(A135,AuxOPEXSaneparOriginal!$B$4:$AE$177,30,0)</f>
        <v>0</v>
      </c>
      <c r="Q135" s="146">
        <f>VLOOKUP(A135,AuxOPEXSaneparOriginal!$B$4:$AF$177,31,0)</f>
        <v>1261.8</v>
      </c>
      <c r="R135" s="146">
        <f>VLOOKUP(A135,AuxOPEXSaneparOriginal!$B$4:$AG$177,32,0)</f>
        <v>212776.94</v>
      </c>
      <c r="S135" s="146">
        <f>VLOOKUP(A135,AuxOPEXSaneparOriginal!$B$4:$AH$177,33,0)</f>
        <v>0</v>
      </c>
      <c r="T135" s="157">
        <f t="shared" si="443"/>
        <v>214188.74</v>
      </c>
      <c r="U135" s="156">
        <f>VLOOKUP(A135,AuxOPEXSaneparOriginal!$B$4:$AI$177,34,0)</f>
        <v>0</v>
      </c>
      <c r="V135" s="156">
        <f>VLOOKUP(A135,AuxOPEXSaneparOriginal!$B$4:$AJ$177,35,0)</f>
        <v>322</v>
      </c>
      <c r="W135" s="156">
        <f>VLOOKUP(A135,AuxOPEXSaneparOriginal!$B$4:$AK$177,36,0)</f>
        <v>0</v>
      </c>
      <c r="X135" s="19">
        <f>+VLOOKUP(A135,AuxOPEXSaneparOriginal!$B$4:$AL$177,37,0)</f>
        <v>0</v>
      </c>
      <c r="Y135" s="146">
        <f>VLOOKUP(A135,AuxOPEXSaneparOriginal!$B$4:$AM$177,38,0)</f>
        <v>300</v>
      </c>
      <c r="Z135" s="146">
        <f>VLOOKUP(A135,AuxOPEXSaneparOriginal!$B$4:$AN$177,39,0)</f>
        <v>219229.11999999997</v>
      </c>
      <c r="AA135" s="146">
        <f>VLOOKUP(A135,AuxOPEXSaneparOriginal!$B$4:$AO$177,40,0)</f>
        <v>0</v>
      </c>
      <c r="AB135" s="157">
        <f t="shared" si="444"/>
        <v>219851.11999999997</v>
      </c>
      <c r="AC135" s="156">
        <f>VLOOKUP(A135,AuxOPEXSaneparOriginal!$B$4:$AP$177,41,0)</f>
        <v>150</v>
      </c>
      <c r="AD135" s="156">
        <f>+VLOOKUP(A135,AuxOPEXSaneparOriginal!$B$4:$AQ$177,42,0)</f>
        <v>0</v>
      </c>
      <c r="AE135" s="156">
        <f>VLOOKUP(A135,AuxOPEXSaneparOriginal!$B$4:$AR$177,43,0)</f>
        <v>0</v>
      </c>
      <c r="AF135" s="156">
        <f>+VLOOKUP(A135,AuxOPEXSaneparOriginal!$B$4:$AS$177,44,0)</f>
        <v>0</v>
      </c>
      <c r="AG135" s="146">
        <f>VLOOKUP(A135,AuxOPEXSaneparOriginal!$B$4:$AT$177,45,0)</f>
        <v>150</v>
      </c>
      <c r="AH135" s="146">
        <f>VLOOKUP(A135,AuxOPEXSaneparOriginal!$B$4:$AU$177,46,0)</f>
        <v>166252.15</v>
      </c>
      <c r="AI135" s="146">
        <f>VLOOKUP(A135,AuxOPEXSaneparOriginal!$B$4:$AV$177,47,0)</f>
        <v>0</v>
      </c>
      <c r="AJ135" s="157">
        <f t="shared" si="445"/>
        <v>166552.15</v>
      </c>
      <c r="AK135" s="157">
        <f t="shared" si="490"/>
        <v>219044.16</v>
      </c>
      <c r="AL135" s="157">
        <f t="shared" si="491"/>
        <v>193201.63499999998</v>
      </c>
      <c r="AM135" s="144"/>
      <c r="AN135" s="167">
        <f t="shared" si="290"/>
        <v>583.6</v>
      </c>
      <c r="AO135" s="168">
        <f t="shared" si="291"/>
        <v>0</v>
      </c>
      <c r="AP135" s="57">
        <f t="shared" si="292"/>
        <v>0</v>
      </c>
      <c r="AQ135" s="57">
        <f t="shared" si="293"/>
        <v>0</v>
      </c>
      <c r="AR135" s="57">
        <f t="shared" si="294"/>
        <v>150</v>
      </c>
      <c r="AS135" s="57">
        <f t="shared" si="295"/>
        <v>274851.03000000003</v>
      </c>
      <c r="AT135" s="57">
        <f t="shared" si="296"/>
        <v>0</v>
      </c>
      <c r="AU135" s="157">
        <f t="shared" si="446"/>
        <v>275584.63</v>
      </c>
      <c r="AV135" s="57">
        <f t="shared" si="447"/>
        <v>150</v>
      </c>
      <c r="AW135" s="57">
        <f t="shared" si="448"/>
        <v>0</v>
      </c>
      <c r="AX135" s="57">
        <f t="shared" si="449"/>
        <v>0</v>
      </c>
      <c r="AY135" s="57">
        <f t="shared" si="450"/>
        <v>0</v>
      </c>
      <c r="AZ135" s="57">
        <f t="shared" si="451"/>
        <v>1261.8</v>
      </c>
      <c r="BA135" s="57">
        <f t="shared" si="452"/>
        <v>212776.94</v>
      </c>
      <c r="BB135" s="57">
        <f t="shared" si="453"/>
        <v>0</v>
      </c>
      <c r="BC135" s="157">
        <f t="shared" si="454"/>
        <v>214188.74</v>
      </c>
      <c r="BD135" s="57">
        <f t="shared" si="455"/>
        <v>0</v>
      </c>
      <c r="BE135" s="57">
        <f t="shared" si="456"/>
        <v>322</v>
      </c>
      <c r="BF135" s="57">
        <f t="shared" si="457"/>
        <v>0</v>
      </c>
      <c r="BG135" s="57">
        <f t="shared" si="458"/>
        <v>0</v>
      </c>
      <c r="BH135" s="57">
        <f t="shared" si="459"/>
        <v>300</v>
      </c>
      <c r="BI135" s="57">
        <f t="shared" si="460"/>
        <v>219229.11999999997</v>
      </c>
      <c r="BJ135" s="57">
        <f t="shared" si="461"/>
        <v>0</v>
      </c>
      <c r="BK135" s="157">
        <f t="shared" si="462"/>
        <v>219851.11999999997</v>
      </c>
      <c r="BL135" s="57">
        <f t="shared" si="463"/>
        <v>150</v>
      </c>
      <c r="BM135" s="57">
        <f t="shared" si="464"/>
        <v>0</v>
      </c>
      <c r="BN135" s="57">
        <f t="shared" si="465"/>
        <v>0</v>
      </c>
      <c r="BO135" s="57">
        <f t="shared" si="466"/>
        <v>0</v>
      </c>
      <c r="BP135" s="57">
        <f t="shared" si="467"/>
        <v>150</v>
      </c>
      <c r="BQ135" s="57">
        <f t="shared" si="468"/>
        <v>166252.15</v>
      </c>
      <c r="BR135" s="57">
        <f t="shared" si="469"/>
        <v>0</v>
      </c>
      <c r="BS135" s="157">
        <f t="shared" si="470"/>
        <v>166552.15</v>
      </c>
      <c r="BT135" s="157">
        <f t="shared" si="344"/>
        <v>219044.16</v>
      </c>
      <c r="BU135" s="157">
        <f t="shared" si="345"/>
        <v>193201.63499999998</v>
      </c>
      <c r="BV135" s="144"/>
      <c r="BW135" s="158">
        <f t="shared" si="471"/>
        <v>275584.63</v>
      </c>
      <c r="BX135" s="159">
        <f t="shared" si="472"/>
        <v>214188.74</v>
      </c>
      <c r="BY135" s="159">
        <f t="shared" si="473"/>
        <v>219851.11999999997</v>
      </c>
      <c r="BZ135" s="159">
        <f t="shared" si="474"/>
        <v>166552.15</v>
      </c>
      <c r="CA135" s="158">
        <f t="shared" si="475"/>
        <v>219044.16</v>
      </c>
      <c r="CB135" s="157">
        <f t="shared" si="476"/>
        <v>217019.93</v>
      </c>
      <c r="CC135" s="144"/>
      <c r="CD135" s="158">
        <f t="shared" si="477"/>
        <v>313060.80510597699</v>
      </c>
      <c r="CE135" s="159">
        <f t="shared" si="478"/>
        <v>233854.329230982</v>
      </c>
      <c r="CF135" s="159">
        <f t="shared" si="479"/>
        <v>232425.04312104796</v>
      </c>
      <c r="CG135" s="159">
        <f t="shared" si="331"/>
        <v>166552.15</v>
      </c>
      <c r="CH135" s="158">
        <f t="shared" si="480"/>
        <v>236473.08186450173</v>
      </c>
      <c r="CI135" s="157">
        <f t="shared" si="481"/>
        <v>233139.68617601498</v>
      </c>
      <c r="CK135" s="61">
        <f t="shared" si="482"/>
        <v>-0.25300668299304385</v>
      </c>
      <c r="CL135" s="62">
        <f t="shared" si="483"/>
        <v>-6.1118650855606083E-3</v>
      </c>
      <c r="CM135" s="63">
        <f t="shared" si="484"/>
        <v>-0.28341564332523794</v>
      </c>
      <c r="CN135" s="61">
        <f t="shared" si="485"/>
        <v>-0.46798785640502349</v>
      </c>
      <c r="CO135" s="29"/>
      <c r="CP135" s="61">
        <f t="shared" si="486"/>
        <v>1.3188150101505313E-4</v>
      </c>
      <c r="CQ135" s="62">
        <f t="shared" si="487"/>
        <v>1.006942201447072E-4</v>
      </c>
      <c r="CR135" s="63">
        <f t="shared" si="488"/>
        <v>9.6519904914449541E-5</v>
      </c>
      <c r="CS135" s="61">
        <f t="shared" si="489"/>
        <v>6.8816564425003399E-5</v>
      </c>
      <c r="CU135" s="60">
        <f t="shared" si="492"/>
        <v>100</v>
      </c>
      <c r="CV135" s="132">
        <f t="shared" si="493"/>
        <v>74.699331700695609</v>
      </c>
      <c r="CW135" s="132">
        <f t="shared" si="494"/>
        <v>74.242779463359426</v>
      </c>
      <c r="CX135" s="131">
        <f t="shared" si="495"/>
        <v>53.201214359497648</v>
      </c>
    </row>
    <row r="136" spans="1:102">
      <c r="A136" s="214">
        <v>408</v>
      </c>
      <c r="B136" s="214" t="s">
        <v>6</v>
      </c>
      <c r="C136" s="215" t="s">
        <v>167</v>
      </c>
      <c r="D136" s="216">
        <v>1</v>
      </c>
      <c r="E136" s="57">
        <f>VLOOKUP(A136,AuxOPEXSaneparOriginal!$B$4:$F$177,3,0)</f>
        <v>13661.809999999998</v>
      </c>
      <c r="F136" s="156">
        <f>VLOOKUP(A136,AuxOPEXSaneparOriginal!$B$4:$F$177,4,0)</f>
        <v>3594.6000000000004</v>
      </c>
      <c r="G136" s="57">
        <f>VLOOKUP(A136,AuxOPEXSaneparOriginal!$B$4:$K$177,8,0)</f>
        <v>10173.620000000001</v>
      </c>
      <c r="H136" s="156">
        <f>VLOOKUP(A136,AuxOPEXSaneparOriginal!$B$4:$K$177,9,0)</f>
        <v>2580.1</v>
      </c>
      <c r="I136" s="57">
        <f>VLOOKUP(A136,AuxOPEXSaneparOriginal!$B$4:$N$177,13,0)</f>
        <v>33887.589999999989</v>
      </c>
      <c r="J136" s="57">
        <f>VLOOKUP(A136,AuxOPEXSaneparOriginal!$B$4:$Q$177,16,0)</f>
        <v>3052878.6799999997</v>
      </c>
      <c r="K136" s="57">
        <f>VLOOKUP(A136,AuxOPEXSaneparOriginal!$B$4:$V$177,21,0)</f>
        <v>0</v>
      </c>
      <c r="L136" s="157">
        <f t="shared" si="442"/>
        <v>3116776.4</v>
      </c>
      <c r="M136" s="19">
        <f>VLOOKUP(A136,AuxOPEXSaneparOriginal!$B$4:$AB$177,27,0)</f>
        <v>30562.880000000001</v>
      </c>
      <c r="N136" s="156">
        <f>VLOOKUP(A136,AuxOPEXSaneparOriginal!$B$4:$AC$177,28,0)</f>
        <v>152858.49999999997</v>
      </c>
      <c r="O136" s="156">
        <f>VLOOKUP(A136,AuxOPEXSaneparOriginal!$B$4:$AD$177,29,0)</f>
        <v>3309.88</v>
      </c>
      <c r="P136" s="156">
        <f>VLOOKUP(A136,AuxOPEXSaneparOriginal!$B$4:$AE$177,30,0)</f>
        <v>65007.72</v>
      </c>
      <c r="Q136" s="146">
        <f>VLOOKUP(A136,AuxOPEXSaneparOriginal!$B$4:$AF$177,31,0)</f>
        <v>13772.549999999997</v>
      </c>
      <c r="R136" s="146">
        <f>VLOOKUP(A136,AuxOPEXSaneparOriginal!$B$4:$AG$177,32,0)</f>
        <v>5199038.629999999</v>
      </c>
      <c r="S136" s="146">
        <f>VLOOKUP(A136,AuxOPEXSaneparOriginal!$B$4:$AH$177,33,0)</f>
        <v>0</v>
      </c>
      <c r="T136" s="157">
        <f t="shared" si="443"/>
        <v>5464550.1599999992</v>
      </c>
      <c r="U136" s="156">
        <f>VLOOKUP(A136,AuxOPEXSaneparOriginal!$B$4:$AI$177,34,0)</f>
        <v>12107.890000000001</v>
      </c>
      <c r="V136" s="156">
        <f>VLOOKUP(A136,AuxOPEXSaneparOriginal!$B$4:$AJ$177,35,0)</f>
        <v>10064.630000000001</v>
      </c>
      <c r="W136" s="156">
        <f>VLOOKUP(A136,AuxOPEXSaneparOriginal!$B$4:$AK$177,36,0)</f>
        <v>11255.06</v>
      </c>
      <c r="X136" s="19">
        <f>+VLOOKUP(A136,AuxOPEXSaneparOriginal!$B$4:$AL$177,37,0)</f>
        <v>124408.46</v>
      </c>
      <c r="Y136" s="146">
        <f>VLOOKUP(A136,AuxOPEXSaneparOriginal!$B$4:$AM$177,38,0)</f>
        <v>13145.27</v>
      </c>
      <c r="Z136" s="146">
        <f>VLOOKUP(A136,AuxOPEXSaneparOriginal!$B$4:$AN$177,39,0)</f>
        <v>2588568.3600000003</v>
      </c>
      <c r="AA136" s="146">
        <f>VLOOKUP(A136,AuxOPEXSaneparOriginal!$B$4:$AO$177,40,0)</f>
        <v>0</v>
      </c>
      <c r="AB136" s="157">
        <f t="shared" si="444"/>
        <v>2759549.6700000004</v>
      </c>
      <c r="AC136" s="156">
        <f>VLOOKUP(A136,AuxOPEXSaneparOriginal!$B$4:$AP$177,41,0)</f>
        <v>50626.149999999994</v>
      </c>
      <c r="AD136" s="156">
        <f>+VLOOKUP(A136,AuxOPEXSaneparOriginal!$B$4:$AQ$177,42,0)</f>
        <v>17039.490000000002</v>
      </c>
      <c r="AE136" s="156">
        <f>VLOOKUP(A136,AuxOPEXSaneparOriginal!$B$4:$AR$177,43,0)</f>
        <v>9353.5299999999988</v>
      </c>
      <c r="AF136" s="156">
        <f>+VLOOKUP(A136,AuxOPEXSaneparOriginal!$B$4:$AS$177,44,0)</f>
        <v>14999.79</v>
      </c>
      <c r="AG136" s="146">
        <f>VLOOKUP(A136,AuxOPEXSaneparOriginal!$B$4:$AT$177,45,0)</f>
        <v>9906.0499999999993</v>
      </c>
      <c r="AH136" s="146">
        <f>VLOOKUP(A136,AuxOPEXSaneparOriginal!$B$4:$AU$177,46,0)</f>
        <v>2597614.7999999998</v>
      </c>
      <c r="AI136" s="146">
        <f>VLOOKUP(A136,AuxOPEXSaneparOriginal!$B$4:$AV$177,47,0)</f>
        <v>0</v>
      </c>
      <c r="AJ136" s="157">
        <f t="shared" si="445"/>
        <v>2699539.8099999996</v>
      </c>
      <c r="AK136" s="157">
        <f t="shared" si="490"/>
        <v>3510104.0100000002</v>
      </c>
      <c r="AL136" s="157">
        <f t="shared" si="491"/>
        <v>2729544.74</v>
      </c>
      <c r="AM136" s="144"/>
      <c r="AN136" s="167">
        <f t="shared" si="290"/>
        <v>0</v>
      </c>
      <c r="AO136" s="168">
        <f t="shared" si="291"/>
        <v>0</v>
      </c>
      <c r="AP136" s="57">
        <f t="shared" si="292"/>
        <v>0</v>
      </c>
      <c r="AQ136" s="57">
        <f t="shared" si="293"/>
        <v>0</v>
      </c>
      <c r="AR136" s="57">
        <f t="shared" si="294"/>
        <v>0</v>
      </c>
      <c r="AS136" s="57">
        <f t="shared" si="295"/>
        <v>0</v>
      </c>
      <c r="AT136" s="57">
        <f t="shared" si="296"/>
        <v>0</v>
      </c>
      <c r="AU136" s="157">
        <f t="shared" si="446"/>
        <v>0</v>
      </c>
      <c r="AV136" s="57">
        <f t="shared" si="447"/>
        <v>0</v>
      </c>
      <c r="AW136" s="57">
        <f t="shared" si="448"/>
        <v>0</v>
      </c>
      <c r="AX136" s="57">
        <f t="shared" si="449"/>
        <v>0</v>
      </c>
      <c r="AY136" s="57">
        <f t="shared" si="450"/>
        <v>0</v>
      </c>
      <c r="AZ136" s="57">
        <f t="shared" si="451"/>
        <v>0</v>
      </c>
      <c r="BA136" s="57">
        <f t="shared" si="452"/>
        <v>0</v>
      </c>
      <c r="BB136" s="57">
        <f t="shared" si="453"/>
        <v>0</v>
      </c>
      <c r="BC136" s="157">
        <f t="shared" si="454"/>
        <v>0</v>
      </c>
      <c r="BD136" s="57">
        <f t="shared" si="455"/>
        <v>0</v>
      </c>
      <c r="BE136" s="57">
        <f t="shared" si="456"/>
        <v>0</v>
      </c>
      <c r="BF136" s="57">
        <f t="shared" si="457"/>
        <v>0</v>
      </c>
      <c r="BG136" s="57">
        <f t="shared" si="458"/>
        <v>0</v>
      </c>
      <c r="BH136" s="57">
        <f t="shared" si="459"/>
        <v>0</v>
      </c>
      <c r="BI136" s="57">
        <f t="shared" si="460"/>
        <v>0</v>
      </c>
      <c r="BJ136" s="57">
        <f t="shared" si="461"/>
        <v>0</v>
      </c>
      <c r="BK136" s="157">
        <f t="shared" si="462"/>
        <v>0</v>
      </c>
      <c r="BL136" s="57">
        <f t="shared" si="463"/>
        <v>0</v>
      </c>
      <c r="BM136" s="57">
        <f t="shared" si="464"/>
        <v>0</v>
      </c>
      <c r="BN136" s="57">
        <f t="shared" si="465"/>
        <v>0</v>
      </c>
      <c r="BO136" s="57">
        <f t="shared" si="466"/>
        <v>0</v>
      </c>
      <c r="BP136" s="57">
        <f t="shared" si="467"/>
        <v>0</v>
      </c>
      <c r="BQ136" s="57">
        <f t="shared" si="468"/>
        <v>0</v>
      </c>
      <c r="BR136" s="57">
        <f t="shared" si="469"/>
        <v>0</v>
      </c>
      <c r="BS136" s="157">
        <f t="shared" si="470"/>
        <v>0</v>
      </c>
      <c r="BT136" s="157">
        <f t="shared" si="344"/>
        <v>0</v>
      </c>
      <c r="BU136" s="157">
        <f t="shared" si="345"/>
        <v>0</v>
      </c>
      <c r="BV136" s="144"/>
      <c r="BW136" s="158">
        <f t="shared" si="471"/>
        <v>0</v>
      </c>
      <c r="BX136" s="159">
        <f t="shared" si="472"/>
        <v>0</v>
      </c>
      <c r="BY136" s="159">
        <f t="shared" si="473"/>
        <v>0</v>
      </c>
      <c r="BZ136" s="159">
        <f t="shared" si="474"/>
        <v>0</v>
      </c>
      <c r="CA136" s="158">
        <f t="shared" si="475"/>
        <v>0</v>
      </c>
      <c r="CB136" s="157">
        <f t="shared" si="476"/>
        <v>0</v>
      </c>
      <c r="CC136" s="144"/>
      <c r="CD136" s="158">
        <f t="shared" si="477"/>
        <v>0</v>
      </c>
      <c r="CE136" s="159">
        <f t="shared" si="478"/>
        <v>0</v>
      </c>
      <c r="CF136" s="159">
        <f t="shared" si="479"/>
        <v>0</v>
      </c>
      <c r="CG136" s="159">
        <f t="shared" si="331"/>
        <v>0</v>
      </c>
      <c r="CH136" s="158">
        <f t="shared" si="480"/>
        <v>0</v>
      </c>
      <c r="CI136" s="157">
        <f t="shared" si="481"/>
        <v>0</v>
      </c>
      <c r="CK136" s="61">
        <f t="shared" si="482"/>
        <v>0</v>
      </c>
      <c r="CL136" s="62">
        <f t="shared" si="483"/>
        <v>0</v>
      </c>
      <c r="CM136" s="63">
        <f t="shared" si="484"/>
        <v>0</v>
      </c>
      <c r="CN136" s="61">
        <f t="shared" si="485"/>
        <v>0</v>
      </c>
      <c r="CO136" s="29"/>
      <c r="CP136" s="61">
        <f t="shared" si="486"/>
        <v>0</v>
      </c>
      <c r="CQ136" s="62">
        <f t="shared" si="487"/>
        <v>0</v>
      </c>
      <c r="CR136" s="63">
        <f t="shared" si="488"/>
        <v>0</v>
      </c>
      <c r="CS136" s="61">
        <f t="shared" si="489"/>
        <v>0</v>
      </c>
      <c r="CU136" s="60">
        <f t="shared" si="492"/>
        <v>0</v>
      </c>
      <c r="CV136" s="132">
        <f t="shared" si="493"/>
        <v>0</v>
      </c>
      <c r="CW136" s="132">
        <f t="shared" si="494"/>
        <v>0</v>
      </c>
      <c r="CX136" s="131">
        <f t="shared" si="495"/>
        <v>0</v>
      </c>
    </row>
    <row r="137" spans="1:102">
      <c r="A137" s="29">
        <v>409</v>
      </c>
      <c r="B137" s="29" t="s">
        <v>6</v>
      </c>
      <c r="C137" s="55" t="s">
        <v>168</v>
      </c>
      <c r="D137" s="56">
        <v>0</v>
      </c>
      <c r="E137" s="57">
        <f>VLOOKUP(A137,AuxOPEXSaneparOriginal!$B$4:$F$177,3,0)</f>
        <v>4955.0300000000007</v>
      </c>
      <c r="F137" s="156">
        <f>VLOOKUP(A137,AuxOPEXSaneparOriginal!$B$4:$F$177,4,0)</f>
        <v>3498.4500000000007</v>
      </c>
      <c r="G137" s="57">
        <f>VLOOKUP(A137,AuxOPEXSaneparOriginal!$B$4:$K$177,8,0)</f>
        <v>932.84</v>
      </c>
      <c r="H137" s="156">
        <f>VLOOKUP(A137,AuxOPEXSaneparOriginal!$B$4:$K$177,9,0)</f>
        <v>82.8</v>
      </c>
      <c r="I137" s="57">
        <f>VLOOKUP(A137,AuxOPEXSaneparOriginal!$B$4:$N$177,13,0)</f>
        <v>6688.5199999999995</v>
      </c>
      <c r="J137" s="57">
        <f>VLOOKUP(A137,AuxOPEXSaneparOriginal!$B$4:$Q$177,16,0)</f>
        <v>176273.81999999998</v>
      </c>
      <c r="K137" s="57">
        <f>VLOOKUP(A137,AuxOPEXSaneparOriginal!$B$4:$V$177,21,0)</f>
        <v>0</v>
      </c>
      <c r="L137" s="157">
        <f t="shared" si="442"/>
        <v>192431.45999999996</v>
      </c>
      <c r="M137" s="19">
        <f>VLOOKUP(A137,AuxOPEXSaneparOriginal!$B$4:$AB$177,27,0)</f>
        <v>6101.9</v>
      </c>
      <c r="N137" s="156">
        <f>VLOOKUP(A137,AuxOPEXSaneparOriginal!$B$4:$AC$177,28,0)</f>
        <v>4489.3500000000004</v>
      </c>
      <c r="O137" s="156">
        <f>VLOOKUP(A137,AuxOPEXSaneparOriginal!$B$4:$AD$177,29,0)</f>
        <v>2343.34</v>
      </c>
      <c r="P137" s="156">
        <f>VLOOKUP(A137,AuxOPEXSaneparOriginal!$B$4:$AE$177,30,0)</f>
        <v>1520.87</v>
      </c>
      <c r="Q137" s="146">
        <f>VLOOKUP(A137,AuxOPEXSaneparOriginal!$B$4:$AF$177,31,0)</f>
        <v>4898.3900000000003</v>
      </c>
      <c r="R137" s="146">
        <f>VLOOKUP(A137,AuxOPEXSaneparOriginal!$B$4:$AG$177,32,0)</f>
        <v>248238.9</v>
      </c>
      <c r="S137" s="146">
        <f>VLOOKUP(A137,AuxOPEXSaneparOriginal!$B$4:$AH$177,33,0)</f>
        <v>0</v>
      </c>
      <c r="T137" s="157">
        <f t="shared" si="443"/>
        <v>267592.75</v>
      </c>
      <c r="U137" s="156">
        <f>VLOOKUP(A137,AuxOPEXSaneparOriginal!$B$4:$AI$177,34,0)</f>
        <v>6068.47</v>
      </c>
      <c r="V137" s="156">
        <f>VLOOKUP(A137,AuxOPEXSaneparOriginal!$B$4:$AJ$177,35,0)</f>
        <v>7603.4099999999989</v>
      </c>
      <c r="W137" s="156">
        <f>VLOOKUP(A137,AuxOPEXSaneparOriginal!$B$4:$AK$177,36,0)</f>
        <v>1397.76</v>
      </c>
      <c r="X137" s="19">
        <f>+VLOOKUP(A137,AuxOPEXSaneparOriginal!$B$4:$AL$177,37,0)</f>
        <v>2128.0699999999997</v>
      </c>
      <c r="Y137" s="146">
        <f>VLOOKUP(A137,AuxOPEXSaneparOriginal!$B$4:$AM$177,38,0)</f>
        <v>9233.7599999999984</v>
      </c>
      <c r="Z137" s="146">
        <f>VLOOKUP(A137,AuxOPEXSaneparOriginal!$B$4:$AN$177,39,0)</f>
        <v>242875.43</v>
      </c>
      <c r="AA137" s="146">
        <f>VLOOKUP(A137,AuxOPEXSaneparOriginal!$B$4:$AO$177,40,0)</f>
        <v>0</v>
      </c>
      <c r="AB137" s="157">
        <f t="shared" si="444"/>
        <v>269306.89999999997</v>
      </c>
      <c r="AC137" s="156">
        <f>VLOOKUP(A137,AuxOPEXSaneparOriginal!$B$4:$AP$177,41,0)</f>
        <v>136.88</v>
      </c>
      <c r="AD137" s="156">
        <f>+VLOOKUP(A137,AuxOPEXSaneparOriginal!$B$4:$AQ$177,42,0)</f>
        <v>875.19999999999993</v>
      </c>
      <c r="AE137" s="156">
        <f>VLOOKUP(A137,AuxOPEXSaneparOriginal!$B$4:$AR$177,43,0)</f>
        <v>31.66</v>
      </c>
      <c r="AF137" s="156">
        <f>+VLOOKUP(A137,AuxOPEXSaneparOriginal!$B$4:$AS$177,44,0)</f>
        <v>217.79999999999998</v>
      </c>
      <c r="AG137" s="146">
        <f>VLOOKUP(A137,AuxOPEXSaneparOriginal!$B$4:$AT$177,45,0)</f>
        <v>788.30000000000007</v>
      </c>
      <c r="AH137" s="146">
        <f>VLOOKUP(A137,AuxOPEXSaneparOriginal!$B$4:$AU$177,46,0)</f>
        <v>28810.699999999997</v>
      </c>
      <c r="AI137" s="146">
        <f>VLOOKUP(A137,AuxOPEXSaneparOriginal!$B$4:$AV$177,47,0)</f>
        <v>0</v>
      </c>
      <c r="AJ137" s="157">
        <f t="shared" si="445"/>
        <v>30860.539999999997</v>
      </c>
      <c r="AK137" s="157">
        <f t="shared" si="490"/>
        <v>190047.91249999998</v>
      </c>
      <c r="AL137" s="157">
        <f t="shared" si="491"/>
        <v>150083.71999999997</v>
      </c>
      <c r="AM137" s="144"/>
      <c r="AN137" s="167">
        <f t="shared" si="290"/>
        <v>4955.0300000000007</v>
      </c>
      <c r="AO137" s="168">
        <f t="shared" si="291"/>
        <v>3498.4500000000007</v>
      </c>
      <c r="AP137" s="57">
        <f t="shared" si="292"/>
        <v>932.84</v>
      </c>
      <c r="AQ137" s="57">
        <f t="shared" si="293"/>
        <v>82.8</v>
      </c>
      <c r="AR137" s="57">
        <f t="shared" si="294"/>
        <v>6688.5199999999995</v>
      </c>
      <c r="AS137" s="57">
        <f t="shared" si="295"/>
        <v>176273.81999999998</v>
      </c>
      <c r="AT137" s="57">
        <f t="shared" si="296"/>
        <v>0</v>
      </c>
      <c r="AU137" s="157">
        <f t="shared" si="446"/>
        <v>192431.45999999996</v>
      </c>
      <c r="AV137" s="57">
        <f t="shared" si="447"/>
        <v>6101.9</v>
      </c>
      <c r="AW137" s="57">
        <f t="shared" si="448"/>
        <v>4489.3500000000004</v>
      </c>
      <c r="AX137" s="57">
        <f t="shared" si="449"/>
        <v>2343.34</v>
      </c>
      <c r="AY137" s="57">
        <f t="shared" si="450"/>
        <v>1520.87</v>
      </c>
      <c r="AZ137" s="57">
        <f t="shared" si="451"/>
        <v>4898.3900000000003</v>
      </c>
      <c r="BA137" s="57">
        <f t="shared" si="452"/>
        <v>248238.9</v>
      </c>
      <c r="BB137" s="57">
        <f t="shared" si="453"/>
        <v>0</v>
      </c>
      <c r="BC137" s="157">
        <f t="shared" si="454"/>
        <v>267592.75</v>
      </c>
      <c r="BD137" s="57">
        <f t="shared" si="455"/>
        <v>6068.47</v>
      </c>
      <c r="BE137" s="57">
        <f t="shared" si="456"/>
        <v>7603.4099999999989</v>
      </c>
      <c r="BF137" s="57">
        <f t="shared" si="457"/>
        <v>1397.76</v>
      </c>
      <c r="BG137" s="57">
        <f t="shared" si="458"/>
        <v>2128.0699999999997</v>
      </c>
      <c r="BH137" s="57">
        <f t="shared" si="459"/>
        <v>9233.7599999999984</v>
      </c>
      <c r="BI137" s="57">
        <f t="shared" si="460"/>
        <v>242875.43</v>
      </c>
      <c r="BJ137" s="57">
        <f t="shared" si="461"/>
        <v>0</v>
      </c>
      <c r="BK137" s="157">
        <f t="shared" si="462"/>
        <v>269306.89999999997</v>
      </c>
      <c r="BL137" s="57">
        <f t="shared" si="463"/>
        <v>136.88</v>
      </c>
      <c r="BM137" s="57">
        <f t="shared" si="464"/>
        <v>875.19999999999993</v>
      </c>
      <c r="BN137" s="57">
        <f t="shared" si="465"/>
        <v>31.66</v>
      </c>
      <c r="BO137" s="57">
        <f t="shared" si="466"/>
        <v>217.79999999999998</v>
      </c>
      <c r="BP137" s="57">
        <f t="shared" si="467"/>
        <v>788.30000000000007</v>
      </c>
      <c r="BQ137" s="57">
        <f t="shared" si="468"/>
        <v>28810.699999999997</v>
      </c>
      <c r="BR137" s="57">
        <f t="shared" si="469"/>
        <v>0</v>
      </c>
      <c r="BS137" s="157">
        <f t="shared" si="470"/>
        <v>30860.539999999997</v>
      </c>
      <c r="BT137" s="157">
        <f t="shared" si="344"/>
        <v>190047.91249999998</v>
      </c>
      <c r="BU137" s="157">
        <f t="shared" si="345"/>
        <v>150083.71999999997</v>
      </c>
      <c r="BV137" s="144"/>
      <c r="BW137" s="158">
        <f t="shared" si="471"/>
        <v>192431.45999999996</v>
      </c>
      <c r="BX137" s="159">
        <f t="shared" si="472"/>
        <v>267592.75</v>
      </c>
      <c r="BY137" s="159">
        <f t="shared" si="473"/>
        <v>269306.89999999997</v>
      </c>
      <c r="BZ137" s="159">
        <f t="shared" si="474"/>
        <v>30860.539999999997</v>
      </c>
      <c r="CA137" s="158">
        <f t="shared" si="475"/>
        <v>190047.91249999998</v>
      </c>
      <c r="CB137" s="157">
        <f t="shared" si="476"/>
        <v>230012.10499999998</v>
      </c>
      <c r="CC137" s="144"/>
      <c r="CD137" s="158">
        <f t="shared" si="477"/>
        <v>218599.81013933395</v>
      </c>
      <c r="CE137" s="159">
        <f t="shared" si="478"/>
        <v>292161.59102632501</v>
      </c>
      <c r="CF137" s="159">
        <f t="shared" si="479"/>
        <v>284709.34260100994</v>
      </c>
      <c r="CG137" s="159">
        <f t="shared" si="331"/>
        <v>30860.539999999997</v>
      </c>
      <c r="CH137" s="158">
        <f t="shared" si="480"/>
        <v>206582.82094166725</v>
      </c>
      <c r="CI137" s="157">
        <f t="shared" si="481"/>
        <v>251654.57637017194</v>
      </c>
      <c r="CK137" s="61">
        <f t="shared" si="482"/>
        <v>0.33651347107805507</v>
      </c>
      <c r="CL137" s="62">
        <f t="shared" si="483"/>
        <v>-2.5507283141279147E-2</v>
      </c>
      <c r="CM137" s="63">
        <f t="shared" si="484"/>
        <v>-0.89160685870695933</v>
      </c>
      <c r="CN137" s="61">
        <f t="shared" si="485"/>
        <v>-0.85882631837452328</v>
      </c>
      <c r="CO137" s="29"/>
      <c r="CP137" s="61">
        <f t="shared" si="486"/>
        <v>9.2088407787176493E-5</v>
      </c>
      <c r="CQ137" s="62">
        <f t="shared" si="487"/>
        <v>1.2580046587709327E-4</v>
      </c>
      <c r="CR137" s="63">
        <f t="shared" si="488"/>
        <v>1.1823217630551607E-4</v>
      </c>
      <c r="CS137" s="61">
        <f t="shared" si="489"/>
        <v>1.2751059287438766E-5</v>
      </c>
      <c r="CU137" s="60">
        <f t="shared" si="492"/>
        <v>100</v>
      </c>
      <c r="CV137" s="132">
        <f t="shared" si="493"/>
        <v>133.65134710780552</v>
      </c>
      <c r="CW137" s="132">
        <f t="shared" si="494"/>
        <v>130.24226435491332</v>
      </c>
      <c r="CX137" s="131">
        <f t="shared" si="495"/>
        <v>14.117368162547676</v>
      </c>
    </row>
    <row r="138" spans="1:102">
      <c r="A138" s="252">
        <v>412</v>
      </c>
      <c r="B138" s="252" t="s">
        <v>6</v>
      </c>
      <c r="C138" s="253" t="s">
        <v>169</v>
      </c>
      <c r="D138" s="56">
        <v>0</v>
      </c>
      <c r="E138" s="57">
        <f>VLOOKUP(A138,AuxOPEXSaneparOriginal!$B$4:$F$177,3,0)</f>
        <v>564957.69999999995</v>
      </c>
      <c r="F138" s="156">
        <f>VLOOKUP(A138,AuxOPEXSaneparOriginal!$B$4:$F$177,4,0)</f>
        <v>0</v>
      </c>
      <c r="G138" s="57">
        <f>VLOOKUP(A138,AuxOPEXSaneparOriginal!$B$4:$K$177,8,0)</f>
        <v>4300</v>
      </c>
      <c r="H138" s="156">
        <f>VLOOKUP(A138,AuxOPEXSaneparOriginal!$B$4:$K$177,9,0)</f>
        <v>0</v>
      </c>
      <c r="I138" s="57">
        <f>VLOOKUP(A138,AuxOPEXSaneparOriginal!$B$4:$N$177,13,0)</f>
        <v>0</v>
      </c>
      <c r="J138" s="57">
        <f>VLOOKUP(A138,AuxOPEXSaneparOriginal!$B$4:$Q$177,16,0)</f>
        <v>74182.649999999994</v>
      </c>
      <c r="K138" s="57">
        <f>VLOOKUP(A138,AuxOPEXSaneparOriginal!$B$4:$V$177,21,0)</f>
        <v>0</v>
      </c>
      <c r="L138" s="157">
        <f t="shared" si="442"/>
        <v>643440.35</v>
      </c>
      <c r="M138" s="19">
        <f>VLOOKUP(A138,AuxOPEXSaneparOriginal!$B$4:$AB$177,27,0)</f>
        <v>750000</v>
      </c>
      <c r="N138" s="156">
        <f>VLOOKUP(A138,AuxOPEXSaneparOriginal!$B$4:$AC$177,28,0)</f>
        <v>0</v>
      </c>
      <c r="O138" s="156">
        <f>VLOOKUP(A138,AuxOPEXSaneparOriginal!$B$4:$AD$177,29,0)</f>
        <v>0</v>
      </c>
      <c r="P138" s="156">
        <f>VLOOKUP(A138,AuxOPEXSaneparOriginal!$B$4:$AE$177,30,0)</f>
        <v>0</v>
      </c>
      <c r="Q138" s="146">
        <f>VLOOKUP(A138,AuxOPEXSaneparOriginal!$B$4:$AF$177,31,0)</f>
        <v>0</v>
      </c>
      <c r="R138" s="146">
        <f>VLOOKUP(A138,AuxOPEXSaneparOriginal!$B$4:$AG$177,32,0)</f>
        <v>0</v>
      </c>
      <c r="S138" s="146">
        <f>VLOOKUP(A138,AuxOPEXSaneparOriginal!$B$4:$AH$177,33,0)</f>
        <v>0</v>
      </c>
      <c r="T138" s="157">
        <f t="shared" si="443"/>
        <v>750000</v>
      </c>
      <c r="U138" s="156">
        <f>VLOOKUP(A138,AuxOPEXSaneparOriginal!$B$4:$AI$177,34,0)</f>
        <v>0</v>
      </c>
      <c r="V138" s="156">
        <f>VLOOKUP(A138,AuxOPEXSaneparOriginal!$B$4:$AJ$177,35,0)</f>
        <v>0</v>
      </c>
      <c r="W138" s="156">
        <f>VLOOKUP(A138,AuxOPEXSaneparOriginal!$B$4:$AK$177,36,0)</f>
        <v>135880</v>
      </c>
      <c r="X138" s="19">
        <f>+VLOOKUP(A138,AuxOPEXSaneparOriginal!$B$4:$AL$177,37,0)</f>
        <v>0</v>
      </c>
      <c r="Y138" s="146">
        <f>VLOOKUP(A138,AuxOPEXSaneparOriginal!$B$4:$AM$177,38,0)</f>
        <v>0</v>
      </c>
      <c r="Z138" s="146">
        <f>VLOOKUP(A138,AuxOPEXSaneparOriginal!$B$4:$AN$177,39,0)</f>
        <v>327077</v>
      </c>
      <c r="AA138" s="146">
        <f>VLOOKUP(A138,AuxOPEXSaneparOriginal!$B$4:$AO$177,40,0)</f>
        <v>0</v>
      </c>
      <c r="AB138" s="157">
        <f t="shared" si="444"/>
        <v>462957</v>
      </c>
      <c r="AC138" s="156">
        <f>VLOOKUP(A138,AuxOPEXSaneparOriginal!$B$4:$AP$177,41,0)</f>
        <v>1238497.0900000001</v>
      </c>
      <c r="AD138" s="156">
        <f>+VLOOKUP(A138,AuxOPEXSaneparOriginal!$B$4:$AQ$177,42,0)</f>
        <v>0</v>
      </c>
      <c r="AE138" s="156">
        <f>VLOOKUP(A138,AuxOPEXSaneparOriginal!$B$4:$AR$177,43,0)</f>
        <v>9700</v>
      </c>
      <c r="AF138" s="156">
        <f>+VLOOKUP(A138,AuxOPEXSaneparOriginal!$B$4:$AS$177,44,0)</f>
        <v>0</v>
      </c>
      <c r="AG138" s="146">
        <f>VLOOKUP(A138,AuxOPEXSaneparOriginal!$B$4:$AT$177,45,0)</f>
        <v>0</v>
      </c>
      <c r="AH138" s="146">
        <f>VLOOKUP(A138,AuxOPEXSaneparOriginal!$B$4:$AU$177,46,0)</f>
        <v>25578.98</v>
      </c>
      <c r="AI138" s="146">
        <f>VLOOKUP(A138,AuxOPEXSaneparOriginal!$B$4:$AV$177,47,0)</f>
        <v>0</v>
      </c>
      <c r="AJ138" s="157">
        <f t="shared" si="445"/>
        <v>1273776.07</v>
      </c>
      <c r="AK138" s="157">
        <f t="shared" si="490"/>
        <v>782543.3550000001</v>
      </c>
      <c r="AL138" s="157">
        <f t="shared" si="491"/>
        <v>868366.53500000003</v>
      </c>
      <c r="AM138" s="144"/>
      <c r="AN138" s="167">
        <f t="shared" si="290"/>
        <v>564957.69999999995</v>
      </c>
      <c r="AO138" s="168">
        <f t="shared" si="291"/>
        <v>0</v>
      </c>
      <c r="AP138" s="57">
        <f t="shared" si="292"/>
        <v>4300</v>
      </c>
      <c r="AQ138" s="57">
        <f t="shared" si="293"/>
        <v>0</v>
      </c>
      <c r="AR138" s="57">
        <f t="shared" si="294"/>
        <v>0</v>
      </c>
      <c r="AS138" s="57">
        <f t="shared" si="295"/>
        <v>74182.649999999994</v>
      </c>
      <c r="AT138" s="57">
        <f t="shared" si="296"/>
        <v>0</v>
      </c>
      <c r="AU138" s="157">
        <f t="shared" si="446"/>
        <v>643440.35</v>
      </c>
      <c r="AV138" s="57">
        <f t="shared" si="447"/>
        <v>750000</v>
      </c>
      <c r="AW138" s="57">
        <f t="shared" si="448"/>
        <v>0</v>
      </c>
      <c r="AX138" s="57">
        <f t="shared" si="449"/>
        <v>0</v>
      </c>
      <c r="AY138" s="57">
        <f t="shared" si="450"/>
        <v>0</v>
      </c>
      <c r="AZ138" s="57">
        <f t="shared" si="451"/>
        <v>0</v>
      </c>
      <c r="BA138" s="57">
        <f t="shared" si="452"/>
        <v>0</v>
      </c>
      <c r="BB138" s="57">
        <f t="shared" si="453"/>
        <v>0</v>
      </c>
      <c r="BC138" s="157">
        <f t="shared" si="454"/>
        <v>750000</v>
      </c>
      <c r="BD138" s="57">
        <f t="shared" si="455"/>
        <v>0</v>
      </c>
      <c r="BE138" s="57">
        <f t="shared" si="456"/>
        <v>0</v>
      </c>
      <c r="BF138" s="57">
        <f t="shared" si="457"/>
        <v>135880</v>
      </c>
      <c r="BG138" s="57">
        <f t="shared" si="458"/>
        <v>0</v>
      </c>
      <c r="BH138" s="57">
        <f t="shared" si="459"/>
        <v>0</v>
      </c>
      <c r="BI138" s="57">
        <f t="shared" si="460"/>
        <v>327077</v>
      </c>
      <c r="BJ138" s="57">
        <f t="shared" si="461"/>
        <v>0</v>
      </c>
      <c r="BK138" s="157">
        <f t="shared" si="462"/>
        <v>462957</v>
      </c>
      <c r="BL138" s="57">
        <f t="shared" si="463"/>
        <v>1238497.0900000001</v>
      </c>
      <c r="BM138" s="57">
        <f t="shared" si="464"/>
        <v>0</v>
      </c>
      <c r="BN138" s="57">
        <f t="shared" si="465"/>
        <v>9700</v>
      </c>
      <c r="BO138" s="57">
        <f t="shared" si="466"/>
        <v>0</v>
      </c>
      <c r="BP138" s="57">
        <f t="shared" si="467"/>
        <v>0</v>
      </c>
      <c r="BQ138" s="57">
        <f t="shared" si="468"/>
        <v>25578.98</v>
      </c>
      <c r="BR138" s="57">
        <f t="shared" si="469"/>
        <v>0</v>
      </c>
      <c r="BS138" s="157">
        <f t="shared" si="470"/>
        <v>1273776.07</v>
      </c>
      <c r="BT138" s="157">
        <f t="shared" si="344"/>
        <v>782543.3550000001</v>
      </c>
      <c r="BU138" s="157">
        <f t="shared" si="345"/>
        <v>868366.53500000003</v>
      </c>
      <c r="BV138" s="144"/>
      <c r="BW138" s="158">
        <f t="shared" si="471"/>
        <v>643440.35</v>
      </c>
      <c r="BX138" s="159">
        <f t="shared" si="472"/>
        <v>750000</v>
      </c>
      <c r="BY138" s="159">
        <f t="shared" si="473"/>
        <v>462957</v>
      </c>
      <c r="BZ138" s="159">
        <f t="shared" si="474"/>
        <v>1273776.07</v>
      </c>
      <c r="CA138" s="158">
        <f t="shared" si="475"/>
        <v>782543.35499999998</v>
      </c>
      <c r="CB138" s="157">
        <f t="shared" si="476"/>
        <v>696720.17500000005</v>
      </c>
      <c r="CC138" s="144"/>
      <c r="CD138" s="158">
        <f t="shared" si="477"/>
        <v>730940.45197176491</v>
      </c>
      <c r="CE138" s="159">
        <f t="shared" si="478"/>
        <v>818860.72499999998</v>
      </c>
      <c r="CF138" s="159">
        <f t="shared" si="479"/>
        <v>489434.8534053</v>
      </c>
      <c r="CG138" s="159">
        <f t="shared" si="331"/>
        <v>1273776.07</v>
      </c>
      <c r="CH138" s="158">
        <f t="shared" si="480"/>
        <v>828253.02509426628</v>
      </c>
      <c r="CI138" s="157">
        <f t="shared" si="481"/>
        <v>774900.58848588238</v>
      </c>
      <c r="CK138" s="61">
        <f t="shared" si="482"/>
        <v>0.12028376975314981</v>
      </c>
      <c r="CL138" s="62">
        <f t="shared" si="483"/>
        <v>-0.40229780417750527</v>
      </c>
      <c r="CM138" s="63">
        <f t="shared" si="484"/>
        <v>1.6025446719569616</v>
      </c>
      <c r="CN138" s="61">
        <f t="shared" si="485"/>
        <v>0.74265368206657145</v>
      </c>
      <c r="CO138" s="29"/>
      <c r="CP138" s="61">
        <f t="shared" si="486"/>
        <v>3.0791949163366306E-4</v>
      </c>
      <c r="CQ138" s="62">
        <f t="shared" si="487"/>
        <v>3.5258933363411355E-4</v>
      </c>
      <c r="CR138" s="63">
        <f t="shared" si="488"/>
        <v>2.0324920618770934E-4</v>
      </c>
      <c r="CS138" s="61">
        <f t="shared" si="489"/>
        <v>5.2630298068312323E-4</v>
      </c>
      <c r="CU138" s="60">
        <f t="shared" si="492"/>
        <v>100</v>
      </c>
      <c r="CV138" s="132">
        <f t="shared" si="493"/>
        <v>112.02837697531498</v>
      </c>
      <c r="CW138" s="132">
        <f t="shared" si="494"/>
        <v>66.959606912575978</v>
      </c>
      <c r="CX138" s="131">
        <f t="shared" si="495"/>
        <v>174.26536820665714</v>
      </c>
    </row>
    <row r="139" spans="1:102">
      <c r="A139" s="214">
        <v>414</v>
      </c>
      <c r="B139" s="214" t="s">
        <v>6</v>
      </c>
      <c r="C139" s="215" t="s">
        <v>170</v>
      </c>
      <c r="D139" s="216">
        <v>1</v>
      </c>
      <c r="E139" s="57">
        <f>VLOOKUP(A139,AuxOPEXSaneparOriginal!$B$4:$F$177,3,0)</f>
        <v>0</v>
      </c>
      <c r="F139" s="156">
        <f>VLOOKUP(A139,AuxOPEXSaneparOriginal!$B$4:$F$177,4,0)</f>
        <v>0</v>
      </c>
      <c r="G139" s="57">
        <f>VLOOKUP(A139,AuxOPEXSaneparOriginal!$B$4:$K$177,8,0)</f>
        <v>0</v>
      </c>
      <c r="H139" s="156">
        <f>VLOOKUP(A139,AuxOPEXSaneparOriginal!$B$4:$K$177,9,0)</f>
        <v>0</v>
      </c>
      <c r="I139" s="57">
        <f>VLOOKUP(A139,AuxOPEXSaneparOriginal!$B$4:$N$177,13,0)</f>
        <v>28516986.669999998</v>
      </c>
      <c r="J139" s="57">
        <f>VLOOKUP(A139,AuxOPEXSaneparOriginal!$B$4:$Q$177,16,0)</f>
        <v>0</v>
      </c>
      <c r="K139" s="57">
        <f>VLOOKUP(A139,AuxOPEXSaneparOriginal!$B$4:$V$177,21,0)</f>
        <v>0</v>
      </c>
      <c r="L139" s="157">
        <f t="shared" si="442"/>
        <v>28516986.669999998</v>
      </c>
      <c r="M139" s="19">
        <f>VLOOKUP(A139,AuxOPEXSaneparOriginal!$B$4:$AB$177,27,0)</f>
        <v>0</v>
      </c>
      <c r="N139" s="156">
        <f>VLOOKUP(A139,AuxOPEXSaneparOriginal!$B$4:$AC$177,28,0)</f>
        <v>0</v>
      </c>
      <c r="O139" s="156">
        <f>VLOOKUP(A139,AuxOPEXSaneparOriginal!$B$4:$AD$177,29,0)</f>
        <v>0</v>
      </c>
      <c r="P139" s="156">
        <f>VLOOKUP(A139,AuxOPEXSaneparOriginal!$B$4:$AE$177,30,0)</f>
        <v>0</v>
      </c>
      <c r="Q139" s="146">
        <f>VLOOKUP(A139,AuxOPEXSaneparOriginal!$B$4:$AF$177,31,0)</f>
        <v>43550994.220000006</v>
      </c>
      <c r="R139" s="146">
        <f>VLOOKUP(A139,AuxOPEXSaneparOriginal!$B$4:$AG$177,32,0)</f>
        <v>0</v>
      </c>
      <c r="S139" s="146">
        <f>VLOOKUP(A139,AuxOPEXSaneparOriginal!$B$4:$AH$177,33,0)</f>
        <v>0</v>
      </c>
      <c r="T139" s="157">
        <f t="shared" si="443"/>
        <v>43550994.220000006</v>
      </c>
      <c r="U139" s="156">
        <f>VLOOKUP(A139,AuxOPEXSaneparOriginal!$B$4:$AI$177,34,0)</f>
        <v>0</v>
      </c>
      <c r="V139" s="156">
        <f>VLOOKUP(A139,AuxOPEXSaneparOriginal!$B$4:$AJ$177,35,0)</f>
        <v>0</v>
      </c>
      <c r="W139" s="156">
        <f>VLOOKUP(A139,AuxOPEXSaneparOriginal!$B$4:$AK$177,36,0)</f>
        <v>0</v>
      </c>
      <c r="X139" s="19">
        <f>+VLOOKUP(A139,AuxOPEXSaneparOriginal!$B$4:$AL$177,37,0)</f>
        <v>0</v>
      </c>
      <c r="Y139" s="146">
        <f>VLOOKUP(A139,AuxOPEXSaneparOriginal!$B$4:$AM$177,38,0)</f>
        <v>63194313.160000034</v>
      </c>
      <c r="Z139" s="146">
        <f>VLOOKUP(A139,AuxOPEXSaneparOriginal!$B$4:$AN$177,39,0)</f>
        <v>0</v>
      </c>
      <c r="AA139" s="146">
        <f>VLOOKUP(A139,AuxOPEXSaneparOriginal!$B$4:$AO$177,40,0)</f>
        <v>0</v>
      </c>
      <c r="AB139" s="157">
        <f t="shared" si="444"/>
        <v>63194313.160000034</v>
      </c>
      <c r="AC139" s="156">
        <f>VLOOKUP(A139,AuxOPEXSaneparOriginal!$B$4:$AP$177,41,0)</f>
        <v>0</v>
      </c>
      <c r="AD139" s="156">
        <f>+VLOOKUP(A139,AuxOPEXSaneparOriginal!$B$4:$AQ$177,42,0)</f>
        <v>0</v>
      </c>
      <c r="AE139" s="156">
        <f>VLOOKUP(A139,AuxOPEXSaneparOriginal!$B$4:$AR$177,43,0)</f>
        <v>0</v>
      </c>
      <c r="AF139" s="156">
        <f>+VLOOKUP(A139,AuxOPEXSaneparOriginal!$B$4:$AS$177,44,0)</f>
        <v>0</v>
      </c>
      <c r="AG139" s="146">
        <f>VLOOKUP(A139,AuxOPEXSaneparOriginal!$B$4:$AT$177,45,0)</f>
        <v>65926791.999999948</v>
      </c>
      <c r="AH139" s="146">
        <f>VLOOKUP(A139,AuxOPEXSaneparOriginal!$B$4:$AU$177,46,0)</f>
        <v>0</v>
      </c>
      <c r="AI139" s="146">
        <f>VLOOKUP(A139,AuxOPEXSaneparOriginal!$B$4:$AV$177,47,0)</f>
        <v>0</v>
      </c>
      <c r="AJ139" s="157">
        <f t="shared" si="445"/>
        <v>65926791.999999948</v>
      </c>
      <c r="AK139" s="157">
        <f t="shared" si="490"/>
        <v>50297271.512499996</v>
      </c>
      <c r="AL139" s="157">
        <f t="shared" si="491"/>
        <v>64560552.579999991</v>
      </c>
      <c r="AM139" s="144"/>
      <c r="AN139" s="167">
        <f t="shared" si="290"/>
        <v>0</v>
      </c>
      <c r="AO139" s="168">
        <f t="shared" si="291"/>
        <v>0</v>
      </c>
      <c r="AP139" s="57">
        <f t="shared" si="292"/>
        <v>0</v>
      </c>
      <c r="AQ139" s="57">
        <f t="shared" si="293"/>
        <v>0</v>
      </c>
      <c r="AR139" s="57">
        <f t="shared" si="294"/>
        <v>0</v>
      </c>
      <c r="AS139" s="57">
        <f t="shared" si="295"/>
        <v>0</v>
      </c>
      <c r="AT139" s="57">
        <f t="shared" si="296"/>
        <v>0</v>
      </c>
      <c r="AU139" s="157">
        <f t="shared" si="446"/>
        <v>0</v>
      </c>
      <c r="AV139" s="57">
        <f t="shared" si="447"/>
        <v>0</v>
      </c>
      <c r="AW139" s="57">
        <f t="shared" si="448"/>
        <v>0</v>
      </c>
      <c r="AX139" s="57">
        <f t="shared" si="449"/>
        <v>0</v>
      </c>
      <c r="AY139" s="57">
        <f t="shared" si="450"/>
        <v>0</v>
      </c>
      <c r="AZ139" s="57">
        <f t="shared" si="451"/>
        <v>0</v>
      </c>
      <c r="BA139" s="57">
        <f t="shared" si="452"/>
        <v>0</v>
      </c>
      <c r="BB139" s="57">
        <f t="shared" si="453"/>
        <v>0</v>
      </c>
      <c r="BC139" s="157">
        <f t="shared" si="454"/>
        <v>0</v>
      </c>
      <c r="BD139" s="57">
        <f t="shared" si="455"/>
        <v>0</v>
      </c>
      <c r="BE139" s="57">
        <f t="shared" si="456"/>
        <v>0</v>
      </c>
      <c r="BF139" s="57">
        <f t="shared" si="457"/>
        <v>0</v>
      </c>
      <c r="BG139" s="57">
        <f t="shared" si="458"/>
        <v>0</v>
      </c>
      <c r="BH139" s="57">
        <f t="shared" si="459"/>
        <v>0</v>
      </c>
      <c r="BI139" s="57">
        <f t="shared" si="460"/>
        <v>0</v>
      </c>
      <c r="BJ139" s="57">
        <f t="shared" si="461"/>
        <v>0</v>
      </c>
      <c r="BK139" s="157">
        <f t="shared" si="462"/>
        <v>0</v>
      </c>
      <c r="BL139" s="57">
        <f t="shared" si="463"/>
        <v>0</v>
      </c>
      <c r="BM139" s="57">
        <f t="shared" si="464"/>
        <v>0</v>
      </c>
      <c r="BN139" s="57">
        <f t="shared" si="465"/>
        <v>0</v>
      </c>
      <c r="BO139" s="57">
        <f t="shared" si="466"/>
        <v>0</v>
      </c>
      <c r="BP139" s="57">
        <f t="shared" si="467"/>
        <v>0</v>
      </c>
      <c r="BQ139" s="57">
        <f t="shared" si="468"/>
        <v>0</v>
      </c>
      <c r="BR139" s="57">
        <f t="shared" si="469"/>
        <v>0</v>
      </c>
      <c r="BS139" s="157">
        <f t="shared" si="470"/>
        <v>0</v>
      </c>
      <c r="BT139" s="157">
        <f t="shared" si="344"/>
        <v>0</v>
      </c>
      <c r="BU139" s="157">
        <f t="shared" si="345"/>
        <v>0</v>
      </c>
      <c r="BV139" s="144"/>
      <c r="BW139" s="158">
        <f t="shared" si="471"/>
        <v>0</v>
      </c>
      <c r="BX139" s="159">
        <f t="shared" si="472"/>
        <v>0</v>
      </c>
      <c r="BY139" s="159">
        <f t="shared" si="473"/>
        <v>0</v>
      </c>
      <c r="BZ139" s="159">
        <f t="shared" si="474"/>
        <v>0</v>
      </c>
      <c r="CA139" s="158">
        <f t="shared" si="475"/>
        <v>0</v>
      </c>
      <c r="CB139" s="157">
        <f t="shared" si="476"/>
        <v>0</v>
      </c>
      <c r="CC139" s="144"/>
      <c r="CD139" s="158">
        <f t="shared" si="477"/>
        <v>0</v>
      </c>
      <c r="CE139" s="159">
        <f t="shared" si="478"/>
        <v>0</v>
      </c>
      <c r="CF139" s="159">
        <f t="shared" si="479"/>
        <v>0</v>
      </c>
      <c r="CG139" s="159">
        <f t="shared" si="331"/>
        <v>0</v>
      </c>
      <c r="CH139" s="158">
        <f t="shared" si="480"/>
        <v>0</v>
      </c>
      <c r="CI139" s="157">
        <f t="shared" si="481"/>
        <v>0</v>
      </c>
      <c r="CK139" s="61">
        <f t="shared" si="482"/>
        <v>0</v>
      </c>
      <c r="CL139" s="62">
        <f t="shared" si="483"/>
        <v>0</v>
      </c>
      <c r="CM139" s="63">
        <f t="shared" si="484"/>
        <v>0</v>
      </c>
      <c r="CN139" s="61">
        <f t="shared" si="485"/>
        <v>0</v>
      </c>
      <c r="CO139" s="29"/>
      <c r="CP139" s="61">
        <f t="shared" si="486"/>
        <v>0</v>
      </c>
      <c r="CQ139" s="62">
        <f t="shared" si="487"/>
        <v>0</v>
      </c>
      <c r="CR139" s="63">
        <f t="shared" si="488"/>
        <v>0</v>
      </c>
      <c r="CS139" s="61">
        <f t="shared" si="489"/>
        <v>0</v>
      </c>
      <c r="CU139" s="60">
        <f t="shared" si="492"/>
        <v>0</v>
      </c>
      <c r="CV139" s="132">
        <f t="shared" si="493"/>
        <v>0</v>
      </c>
      <c r="CW139" s="132">
        <f t="shared" si="494"/>
        <v>0</v>
      </c>
      <c r="CX139" s="131">
        <f t="shared" si="495"/>
        <v>0</v>
      </c>
    </row>
    <row r="140" spans="1:102">
      <c r="A140" s="252">
        <v>415</v>
      </c>
      <c r="B140" s="252" t="s">
        <v>6</v>
      </c>
      <c r="C140" s="253" t="s">
        <v>171</v>
      </c>
      <c r="D140" s="56">
        <v>0</v>
      </c>
      <c r="E140" s="57">
        <f>VLOOKUP(A140,AuxOPEXSaneparOriginal!$B$4:$F$177,3,0)</f>
        <v>0</v>
      </c>
      <c r="F140" s="156">
        <f>VLOOKUP(A140,AuxOPEXSaneparOriginal!$B$4:$F$177,4,0)</f>
        <v>0</v>
      </c>
      <c r="G140" s="57">
        <f>VLOOKUP(A140,AuxOPEXSaneparOriginal!$B$4:$K$177,8,0)</f>
        <v>0</v>
      </c>
      <c r="H140" s="156">
        <f>VLOOKUP(A140,AuxOPEXSaneparOriginal!$B$4:$K$177,9,0)</f>
        <v>0</v>
      </c>
      <c r="I140" s="57">
        <f>VLOOKUP(A140,AuxOPEXSaneparOriginal!$B$4:$N$177,13,0)</f>
        <v>0</v>
      </c>
      <c r="J140" s="57">
        <f>VLOOKUP(A140,AuxOPEXSaneparOriginal!$B$4:$Q$177,16,0)</f>
        <v>2074129.97</v>
      </c>
      <c r="K140" s="57">
        <f>VLOOKUP(A140,AuxOPEXSaneparOriginal!$B$4:$V$177,21,0)</f>
        <v>0</v>
      </c>
      <c r="L140" s="157">
        <f t="shared" si="442"/>
        <v>2074129.97</v>
      </c>
      <c r="M140" s="19">
        <f>VLOOKUP(A140,AuxOPEXSaneparOriginal!$B$4:$AB$177,27,0)</f>
        <v>0</v>
      </c>
      <c r="N140" s="156">
        <f>VLOOKUP(A140,AuxOPEXSaneparOriginal!$B$4:$AC$177,28,0)</f>
        <v>0</v>
      </c>
      <c r="O140" s="156">
        <f>VLOOKUP(A140,AuxOPEXSaneparOriginal!$B$4:$AD$177,29,0)</f>
        <v>0</v>
      </c>
      <c r="P140" s="156">
        <f>VLOOKUP(A140,AuxOPEXSaneparOriginal!$B$4:$AE$177,30,0)</f>
        <v>0</v>
      </c>
      <c r="Q140" s="146">
        <f>VLOOKUP(A140,AuxOPEXSaneparOriginal!$B$4:$AF$177,31,0)</f>
        <v>0</v>
      </c>
      <c r="R140" s="146">
        <f>VLOOKUP(A140,AuxOPEXSaneparOriginal!$B$4:$AG$177,32,0)</f>
        <v>2349571.46</v>
      </c>
      <c r="S140" s="146">
        <f>VLOOKUP(A140,AuxOPEXSaneparOriginal!$B$4:$AH$177,33,0)</f>
        <v>0</v>
      </c>
      <c r="T140" s="157">
        <f t="shared" si="443"/>
        <v>2349571.46</v>
      </c>
      <c r="U140" s="156">
        <f>VLOOKUP(A140,AuxOPEXSaneparOriginal!$B$4:$AI$177,34,0)</f>
        <v>0</v>
      </c>
      <c r="V140" s="156">
        <f>VLOOKUP(A140,AuxOPEXSaneparOriginal!$B$4:$AJ$177,35,0)</f>
        <v>0</v>
      </c>
      <c r="W140" s="156">
        <f>VLOOKUP(A140,AuxOPEXSaneparOriginal!$B$4:$AK$177,36,0)</f>
        <v>0</v>
      </c>
      <c r="X140" s="19">
        <f>+VLOOKUP(A140,AuxOPEXSaneparOriginal!$B$4:$AL$177,37,0)</f>
        <v>0</v>
      </c>
      <c r="Y140" s="146">
        <f>VLOOKUP(A140,AuxOPEXSaneparOriginal!$B$4:$AM$177,38,0)</f>
        <v>0</v>
      </c>
      <c r="Z140" s="146">
        <f>VLOOKUP(A140,AuxOPEXSaneparOriginal!$B$4:$AN$177,39,0)</f>
        <v>2268608.4500000002</v>
      </c>
      <c r="AA140" s="146">
        <f>VLOOKUP(A140,AuxOPEXSaneparOriginal!$B$4:$AO$177,40,0)</f>
        <v>0</v>
      </c>
      <c r="AB140" s="157">
        <f t="shared" si="444"/>
        <v>2268608.4500000002</v>
      </c>
      <c r="AC140" s="156">
        <f>VLOOKUP(A140,AuxOPEXSaneparOriginal!$B$4:$AP$177,41,0)</f>
        <v>0</v>
      </c>
      <c r="AD140" s="156">
        <f>+VLOOKUP(A140,AuxOPEXSaneparOriginal!$B$4:$AQ$177,42,0)</f>
        <v>0</v>
      </c>
      <c r="AE140" s="156">
        <f>VLOOKUP(A140,AuxOPEXSaneparOriginal!$B$4:$AR$177,43,0)</f>
        <v>0</v>
      </c>
      <c r="AF140" s="156">
        <f>+VLOOKUP(A140,AuxOPEXSaneparOriginal!$B$4:$AS$177,44,0)</f>
        <v>0</v>
      </c>
      <c r="AG140" s="146">
        <f>VLOOKUP(A140,AuxOPEXSaneparOriginal!$B$4:$AT$177,45,0)</f>
        <v>0</v>
      </c>
      <c r="AH140" s="146">
        <f>VLOOKUP(A140,AuxOPEXSaneparOriginal!$B$4:$AU$177,46,0)</f>
        <v>2285460.54</v>
      </c>
      <c r="AI140" s="146">
        <f>VLOOKUP(A140,AuxOPEXSaneparOriginal!$B$4:$AV$177,47,0)</f>
        <v>0</v>
      </c>
      <c r="AJ140" s="157">
        <f t="shared" si="445"/>
        <v>2285460.54</v>
      </c>
      <c r="AK140" s="157">
        <f t="shared" si="490"/>
        <v>2244442.605</v>
      </c>
      <c r="AL140" s="157">
        <f t="shared" si="491"/>
        <v>2277034.4950000001</v>
      </c>
      <c r="AM140" s="144"/>
      <c r="AN140" s="167">
        <f t="shared" ref="AN140:AN165" si="496">E140*(1-$D140)</f>
        <v>0</v>
      </c>
      <c r="AO140" s="168">
        <f t="shared" ref="AO140:AO165" si="497">F140*(1-$D140)</f>
        <v>0</v>
      </c>
      <c r="AP140" s="57">
        <f t="shared" ref="AP140:AP165" si="498">G140*(1-$D140)</f>
        <v>0</v>
      </c>
      <c r="AQ140" s="57">
        <f t="shared" ref="AQ140:AQ165" si="499">H140*(1-$D140)</f>
        <v>0</v>
      </c>
      <c r="AR140" s="57">
        <f t="shared" ref="AR140:AR165" si="500">I140*(1-$D140)</f>
        <v>0</v>
      </c>
      <c r="AS140" s="57">
        <f t="shared" ref="AS140:AS165" si="501">J140*(1-$D140)</f>
        <v>2074129.97</v>
      </c>
      <c r="AT140" s="57">
        <f t="shared" ref="AT140:AT165" si="502">K140*(1-$D140)</f>
        <v>0</v>
      </c>
      <c r="AU140" s="157">
        <f t="shared" si="446"/>
        <v>2074129.97</v>
      </c>
      <c r="AV140" s="57">
        <f t="shared" si="447"/>
        <v>0</v>
      </c>
      <c r="AW140" s="57">
        <f t="shared" si="448"/>
        <v>0</v>
      </c>
      <c r="AX140" s="57">
        <f t="shared" si="449"/>
        <v>0</v>
      </c>
      <c r="AY140" s="57">
        <f t="shared" si="450"/>
        <v>0</v>
      </c>
      <c r="AZ140" s="57">
        <f t="shared" si="451"/>
        <v>0</v>
      </c>
      <c r="BA140" s="57">
        <f t="shared" si="452"/>
        <v>2349571.46</v>
      </c>
      <c r="BB140" s="57">
        <f t="shared" si="453"/>
        <v>0</v>
      </c>
      <c r="BC140" s="157">
        <f t="shared" si="454"/>
        <v>2349571.46</v>
      </c>
      <c r="BD140" s="57">
        <f t="shared" si="455"/>
        <v>0</v>
      </c>
      <c r="BE140" s="57">
        <f t="shared" si="456"/>
        <v>0</v>
      </c>
      <c r="BF140" s="57">
        <f t="shared" si="457"/>
        <v>0</v>
      </c>
      <c r="BG140" s="57">
        <f t="shared" si="458"/>
        <v>0</v>
      </c>
      <c r="BH140" s="57">
        <f t="shared" si="459"/>
        <v>0</v>
      </c>
      <c r="BI140" s="57">
        <f t="shared" si="460"/>
        <v>2268608.4500000002</v>
      </c>
      <c r="BJ140" s="57">
        <f t="shared" si="461"/>
        <v>0</v>
      </c>
      <c r="BK140" s="157">
        <f t="shared" si="462"/>
        <v>2268608.4500000002</v>
      </c>
      <c r="BL140" s="57">
        <f t="shared" si="463"/>
        <v>0</v>
      </c>
      <c r="BM140" s="57">
        <f t="shared" si="464"/>
        <v>0</v>
      </c>
      <c r="BN140" s="57">
        <f t="shared" si="465"/>
        <v>0</v>
      </c>
      <c r="BO140" s="57">
        <f t="shared" si="466"/>
        <v>0</v>
      </c>
      <c r="BP140" s="57">
        <f t="shared" si="467"/>
        <v>0</v>
      </c>
      <c r="BQ140" s="57">
        <f t="shared" si="468"/>
        <v>2285460.54</v>
      </c>
      <c r="BR140" s="57">
        <f t="shared" si="469"/>
        <v>0</v>
      </c>
      <c r="BS140" s="157">
        <f t="shared" si="470"/>
        <v>2285460.54</v>
      </c>
      <c r="BT140" s="157">
        <f t="shared" si="344"/>
        <v>2244442.605</v>
      </c>
      <c r="BU140" s="157">
        <f t="shared" si="345"/>
        <v>2277034.4950000001</v>
      </c>
      <c r="BV140" s="144"/>
      <c r="BW140" s="158">
        <f t="shared" si="471"/>
        <v>2074129.97</v>
      </c>
      <c r="BX140" s="159">
        <f t="shared" si="472"/>
        <v>2349571.46</v>
      </c>
      <c r="BY140" s="159">
        <f t="shared" si="473"/>
        <v>2268608.4500000002</v>
      </c>
      <c r="BZ140" s="159">
        <f t="shared" si="474"/>
        <v>2285460.54</v>
      </c>
      <c r="CA140" s="158">
        <f t="shared" si="475"/>
        <v>2244442.605</v>
      </c>
      <c r="CB140" s="157">
        <f t="shared" si="476"/>
        <v>2277034.4950000001</v>
      </c>
      <c r="CC140" s="144"/>
      <c r="CD140" s="158">
        <f t="shared" si="477"/>
        <v>2356186.5489473627</v>
      </c>
      <c r="CE140" s="159">
        <f t="shared" si="478"/>
        <v>2565295.7188998782</v>
      </c>
      <c r="CF140" s="159">
        <f t="shared" si="479"/>
        <v>2398356.7462200052</v>
      </c>
      <c r="CG140" s="159">
        <f t="shared" ref="CG140:CG165" si="503">BZ140</f>
        <v>2285460.54</v>
      </c>
      <c r="CH140" s="158">
        <f t="shared" ref="CH140:CH165" si="504">AVERAGE(CD140:CG140)</f>
        <v>2401324.8885168117</v>
      </c>
      <c r="CI140" s="157">
        <f t="shared" si="481"/>
        <v>2377271.647583684</v>
      </c>
      <c r="CK140" s="61">
        <f t="shared" si="482"/>
        <v>8.8748987233602472E-2</v>
      </c>
      <c r="CL140" s="62">
        <f t="shared" si="483"/>
        <v>-6.5075917544299533E-2</v>
      </c>
      <c r="CM140" s="63">
        <f t="shared" si="484"/>
        <v>-4.7072315825382627E-2</v>
      </c>
      <c r="CN140" s="61">
        <f t="shared" si="485"/>
        <v>-3.0017151646570484E-2</v>
      </c>
      <c r="CO140" s="29"/>
      <c r="CP140" s="61">
        <f t="shared" si="486"/>
        <v>9.9257848213054234E-4</v>
      </c>
      <c r="CQ140" s="62">
        <f t="shared" si="487"/>
        <v>1.1045784472095085E-3</v>
      </c>
      <c r="CR140" s="63">
        <f t="shared" si="488"/>
        <v>9.9597342002222602E-4</v>
      </c>
      <c r="CS140" s="61">
        <f t="shared" si="489"/>
        <v>9.443140931636912E-4</v>
      </c>
      <c r="CU140" s="60">
        <f t="shared" si="492"/>
        <v>100</v>
      </c>
      <c r="CV140" s="132">
        <f t="shared" si="493"/>
        <v>108.87489872336025</v>
      </c>
      <c r="CW140" s="132">
        <f t="shared" si="494"/>
        <v>101.7897647913949</v>
      </c>
      <c r="CX140" s="131">
        <f t="shared" si="495"/>
        <v>96.998284835342957</v>
      </c>
    </row>
    <row r="141" spans="1:102">
      <c r="A141" s="252">
        <v>416</v>
      </c>
      <c r="B141" s="252" t="s">
        <v>6</v>
      </c>
      <c r="C141" s="253" t="s">
        <v>172</v>
      </c>
      <c r="D141" s="56">
        <v>0</v>
      </c>
      <c r="E141" s="57">
        <f>VLOOKUP(A141,AuxOPEXSaneparOriginal!$B$4:$F$177,3,0)</f>
        <v>0</v>
      </c>
      <c r="F141" s="156">
        <f>VLOOKUP(A141,AuxOPEXSaneparOriginal!$B$4:$F$177,4,0)</f>
        <v>0</v>
      </c>
      <c r="G141" s="57">
        <f>VLOOKUP(A141,AuxOPEXSaneparOriginal!$B$4:$K$177,8,0)</f>
        <v>0</v>
      </c>
      <c r="H141" s="156">
        <f>VLOOKUP(A141,AuxOPEXSaneparOriginal!$B$4:$K$177,9,0)</f>
        <v>0</v>
      </c>
      <c r="I141" s="57">
        <f>VLOOKUP(A141,AuxOPEXSaneparOriginal!$B$4:$N$177,13,0)</f>
        <v>445320.06999999995</v>
      </c>
      <c r="J141" s="57">
        <f>VLOOKUP(A141,AuxOPEXSaneparOriginal!$B$4:$Q$177,16,0)</f>
        <v>2870338.71</v>
      </c>
      <c r="K141" s="57">
        <f>VLOOKUP(A141,AuxOPEXSaneparOriginal!$B$4:$V$177,21,0)</f>
        <v>0</v>
      </c>
      <c r="L141" s="157">
        <f t="shared" si="442"/>
        <v>3315658.78</v>
      </c>
      <c r="M141" s="19">
        <f>VLOOKUP(A141,AuxOPEXSaneparOriginal!$B$4:$AB$177,27,0)</f>
        <v>0</v>
      </c>
      <c r="N141" s="156">
        <f>VLOOKUP(A141,AuxOPEXSaneparOriginal!$B$4:$AC$177,28,0)</f>
        <v>1002896.73</v>
      </c>
      <c r="O141" s="156">
        <f>VLOOKUP(A141,AuxOPEXSaneparOriginal!$B$4:$AD$177,29,0)</f>
        <v>0</v>
      </c>
      <c r="P141" s="156">
        <f>VLOOKUP(A141,AuxOPEXSaneparOriginal!$B$4:$AE$177,30,0)</f>
        <v>0</v>
      </c>
      <c r="Q141" s="146">
        <f>VLOOKUP(A141,AuxOPEXSaneparOriginal!$B$4:$AF$177,31,0)</f>
        <v>571076.3600000001</v>
      </c>
      <c r="R141" s="146">
        <f>VLOOKUP(A141,AuxOPEXSaneparOriginal!$B$4:$AG$177,32,0)</f>
        <v>6834951.5800000001</v>
      </c>
      <c r="S141" s="146">
        <f>VLOOKUP(A141,AuxOPEXSaneparOriginal!$B$4:$AH$177,33,0)</f>
        <v>0</v>
      </c>
      <c r="T141" s="157">
        <f t="shared" si="443"/>
        <v>8408924.6699999999</v>
      </c>
      <c r="U141" s="156">
        <f>VLOOKUP(A141,AuxOPEXSaneparOriginal!$B$4:$AI$177,34,0)</f>
        <v>0</v>
      </c>
      <c r="V141" s="156">
        <f>VLOOKUP(A141,AuxOPEXSaneparOriginal!$B$4:$AJ$177,35,0)</f>
        <v>2432219.2199999997</v>
      </c>
      <c r="W141" s="156">
        <f>VLOOKUP(A141,AuxOPEXSaneparOriginal!$B$4:$AK$177,36,0)</f>
        <v>0</v>
      </c>
      <c r="X141" s="19">
        <f>+VLOOKUP(A141,AuxOPEXSaneparOriginal!$B$4:$AL$177,37,0)</f>
        <v>0</v>
      </c>
      <c r="Y141" s="146">
        <f>VLOOKUP(A141,AuxOPEXSaneparOriginal!$B$4:$AM$177,38,0)</f>
        <v>676117.4</v>
      </c>
      <c r="Z141" s="146">
        <f>VLOOKUP(A141,AuxOPEXSaneparOriginal!$B$4:$AN$177,39,0)</f>
        <v>6086489.0800000001</v>
      </c>
      <c r="AA141" s="146">
        <f>VLOOKUP(A141,AuxOPEXSaneparOriginal!$B$4:$AO$177,40,0)</f>
        <v>0</v>
      </c>
      <c r="AB141" s="157">
        <f t="shared" si="444"/>
        <v>9194825.6999999993</v>
      </c>
      <c r="AC141" s="156">
        <f>VLOOKUP(A141,AuxOPEXSaneparOriginal!$B$4:$AP$177,41,0)</f>
        <v>0</v>
      </c>
      <c r="AD141" s="156">
        <f>+VLOOKUP(A141,AuxOPEXSaneparOriginal!$B$4:$AQ$177,42,0)</f>
        <v>305689.63999999996</v>
      </c>
      <c r="AE141" s="156">
        <f>VLOOKUP(A141,AuxOPEXSaneparOriginal!$B$4:$AR$177,43,0)</f>
        <v>0</v>
      </c>
      <c r="AF141" s="156">
        <f>+VLOOKUP(A141,AuxOPEXSaneparOriginal!$B$4:$AS$177,44,0)</f>
        <v>0</v>
      </c>
      <c r="AG141" s="146">
        <f>VLOOKUP(A141,AuxOPEXSaneparOriginal!$B$4:$AT$177,45,0)</f>
        <v>395614.4</v>
      </c>
      <c r="AH141" s="146">
        <f>VLOOKUP(A141,AuxOPEXSaneparOriginal!$B$4:$AU$177,46,0)</f>
        <v>5969084.96</v>
      </c>
      <c r="AI141" s="146">
        <f>VLOOKUP(A141,AuxOPEXSaneparOriginal!$B$4:$AV$177,47,0)</f>
        <v>0</v>
      </c>
      <c r="AJ141" s="157">
        <f t="shared" si="445"/>
        <v>6670389</v>
      </c>
      <c r="AK141" s="157">
        <f t="shared" si="490"/>
        <v>6897449.5374999996</v>
      </c>
      <c r="AL141" s="157">
        <f t="shared" si="491"/>
        <v>7932607.3499999996</v>
      </c>
      <c r="AM141" s="144"/>
      <c r="AN141" s="167">
        <f t="shared" si="496"/>
        <v>0</v>
      </c>
      <c r="AO141" s="168">
        <f t="shared" si="497"/>
        <v>0</v>
      </c>
      <c r="AP141" s="57">
        <f t="shared" si="498"/>
        <v>0</v>
      </c>
      <c r="AQ141" s="57">
        <f t="shared" si="499"/>
        <v>0</v>
      </c>
      <c r="AR141" s="57">
        <f t="shared" si="500"/>
        <v>445320.06999999995</v>
      </c>
      <c r="AS141" s="57">
        <f t="shared" si="501"/>
        <v>2870338.71</v>
      </c>
      <c r="AT141" s="57">
        <f t="shared" si="502"/>
        <v>0</v>
      </c>
      <c r="AU141" s="157">
        <f t="shared" si="446"/>
        <v>3315658.78</v>
      </c>
      <c r="AV141" s="57">
        <f t="shared" si="447"/>
        <v>0</v>
      </c>
      <c r="AW141" s="57">
        <f t="shared" si="448"/>
        <v>1002896.73</v>
      </c>
      <c r="AX141" s="57">
        <f t="shared" si="449"/>
        <v>0</v>
      </c>
      <c r="AY141" s="57">
        <f t="shared" si="450"/>
        <v>0</v>
      </c>
      <c r="AZ141" s="57">
        <f t="shared" si="451"/>
        <v>571076.3600000001</v>
      </c>
      <c r="BA141" s="57">
        <f t="shared" si="452"/>
        <v>6834951.5800000001</v>
      </c>
      <c r="BB141" s="57">
        <f t="shared" si="453"/>
        <v>0</v>
      </c>
      <c r="BC141" s="157">
        <f t="shared" si="454"/>
        <v>8408924.6699999999</v>
      </c>
      <c r="BD141" s="57">
        <f t="shared" si="455"/>
        <v>0</v>
      </c>
      <c r="BE141" s="57">
        <f t="shared" si="456"/>
        <v>2432219.2199999997</v>
      </c>
      <c r="BF141" s="57">
        <f t="shared" si="457"/>
        <v>0</v>
      </c>
      <c r="BG141" s="57">
        <f t="shared" si="458"/>
        <v>0</v>
      </c>
      <c r="BH141" s="57">
        <f t="shared" si="459"/>
        <v>676117.4</v>
      </c>
      <c r="BI141" s="57">
        <f t="shared" si="460"/>
        <v>6086489.0800000001</v>
      </c>
      <c r="BJ141" s="57">
        <f t="shared" si="461"/>
        <v>0</v>
      </c>
      <c r="BK141" s="157">
        <f t="shared" si="462"/>
        <v>9194825.6999999993</v>
      </c>
      <c r="BL141" s="57">
        <f t="shared" si="463"/>
        <v>0</v>
      </c>
      <c r="BM141" s="57">
        <f t="shared" si="464"/>
        <v>305689.63999999996</v>
      </c>
      <c r="BN141" s="57">
        <f t="shared" si="465"/>
        <v>0</v>
      </c>
      <c r="BO141" s="57">
        <f t="shared" si="466"/>
        <v>0</v>
      </c>
      <c r="BP141" s="57">
        <f t="shared" si="467"/>
        <v>395614.4</v>
      </c>
      <c r="BQ141" s="57">
        <f t="shared" si="468"/>
        <v>5969084.96</v>
      </c>
      <c r="BR141" s="57">
        <f t="shared" si="469"/>
        <v>0</v>
      </c>
      <c r="BS141" s="157">
        <f t="shared" si="470"/>
        <v>6670389</v>
      </c>
      <c r="BT141" s="157">
        <f t="shared" si="344"/>
        <v>6897449.5374999996</v>
      </c>
      <c r="BU141" s="157">
        <f t="shared" si="345"/>
        <v>7932607.3499999996</v>
      </c>
      <c r="BV141" s="144"/>
      <c r="BW141" s="158">
        <f t="shared" si="471"/>
        <v>3315658.78</v>
      </c>
      <c r="BX141" s="159">
        <f t="shared" si="472"/>
        <v>8408924.6699999999</v>
      </c>
      <c r="BY141" s="159">
        <f t="shared" si="473"/>
        <v>9194825.6999999993</v>
      </c>
      <c r="BZ141" s="159">
        <f t="shared" si="474"/>
        <v>6670389</v>
      </c>
      <c r="CA141" s="158">
        <f t="shared" si="475"/>
        <v>6897449.5374999996</v>
      </c>
      <c r="CB141" s="157">
        <f t="shared" si="476"/>
        <v>7539656.835</v>
      </c>
      <c r="CC141" s="144"/>
      <c r="CD141" s="158">
        <f t="shared" si="477"/>
        <v>3766548.2546087615</v>
      </c>
      <c r="CE141" s="159">
        <f t="shared" si="478"/>
        <v>9180984.2023287807</v>
      </c>
      <c r="CF141" s="159">
        <f t="shared" si="479"/>
        <v>9720704.44677753</v>
      </c>
      <c r="CG141" s="159">
        <f t="shared" si="503"/>
        <v>6670389</v>
      </c>
      <c r="CH141" s="158">
        <f t="shared" si="504"/>
        <v>7334656.4759287685</v>
      </c>
      <c r="CI141" s="157">
        <f t="shared" si="481"/>
        <v>7925686.6011643903</v>
      </c>
      <c r="CK141" s="61">
        <f t="shared" si="482"/>
        <v>1.4375060617091249</v>
      </c>
      <c r="CL141" s="62">
        <f t="shared" si="483"/>
        <v>5.8786752330087566E-2</v>
      </c>
      <c r="CM141" s="63">
        <f t="shared" si="484"/>
        <v>-0.31379571958786667</v>
      </c>
      <c r="CN141" s="61">
        <f t="shared" si="485"/>
        <v>0.77095540773653681</v>
      </c>
      <c r="CO141" s="29"/>
      <c r="CP141" s="61">
        <f t="shared" si="486"/>
        <v>1.5867142400508322E-3</v>
      </c>
      <c r="CQ141" s="62">
        <f t="shared" si="487"/>
        <v>3.9531961946330111E-3</v>
      </c>
      <c r="CR141" s="63">
        <f t="shared" si="488"/>
        <v>4.0367486063702437E-3</v>
      </c>
      <c r="CS141" s="61">
        <f t="shared" si="489"/>
        <v>2.7560932378137061E-3</v>
      </c>
      <c r="CU141" s="60">
        <f t="shared" si="492"/>
        <v>100</v>
      </c>
      <c r="CV141" s="132">
        <f t="shared" si="493"/>
        <v>243.75060617091248</v>
      </c>
      <c r="CW141" s="132">
        <f t="shared" si="494"/>
        <v>258.07991268619065</v>
      </c>
      <c r="CX141" s="131">
        <f t="shared" si="495"/>
        <v>177.09554077365368</v>
      </c>
    </row>
    <row r="142" spans="1:102">
      <c r="A142" s="252">
        <v>417</v>
      </c>
      <c r="B142" s="252" t="s">
        <v>6</v>
      </c>
      <c r="C142" s="253" t="s">
        <v>173</v>
      </c>
      <c r="D142" s="56">
        <v>0</v>
      </c>
      <c r="E142" s="57">
        <f>VLOOKUP(A142,AuxOPEXSaneparOriginal!$B$4:$F$177,3,0)</f>
        <v>0</v>
      </c>
      <c r="F142" s="156">
        <f>VLOOKUP(A142,AuxOPEXSaneparOriginal!$B$4:$F$177,4,0)</f>
        <v>0</v>
      </c>
      <c r="G142" s="57">
        <f>VLOOKUP(A142,AuxOPEXSaneparOriginal!$B$4:$K$177,8,0)</f>
        <v>0</v>
      </c>
      <c r="H142" s="156">
        <f>VLOOKUP(A142,AuxOPEXSaneparOriginal!$B$4:$K$177,9,0)</f>
        <v>0</v>
      </c>
      <c r="I142" s="57">
        <f>VLOOKUP(A142,AuxOPEXSaneparOriginal!$B$4:$N$177,13,0)</f>
        <v>9479561.5799999945</v>
      </c>
      <c r="J142" s="57">
        <f>VLOOKUP(A142,AuxOPEXSaneparOriginal!$B$4:$Q$177,16,0)</f>
        <v>0</v>
      </c>
      <c r="K142" s="57">
        <f>VLOOKUP(A142,AuxOPEXSaneparOriginal!$B$4:$V$177,21,0)</f>
        <v>0</v>
      </c>
      <c r="L142" s="157">
        <f t="shared" si="442"/>
        <v>9479561.5799999945</v>
      </c>
      <c r="M142" s="19">
        <f>VLOOKUP(A142,AuxOPEXSaneparOriginal!$B$4:$AB$177,27,0)</f>
        <v>0</v>
      </c>
      <c r="N142" s="156">
        <f>VLOOKUP(A142,AuxOPEXSaneparOriginal!$B$4:$AC$177,28,0)</f>
        <v>0</v>
      </c>
      <c r="O142" s="156">
        <f>VLOOKUP(A142,AuxOPEXSaneparOriginal!$B$4:$AD$177,29,0)</f>
        <v>0</v>
      </c>
      <c r="P142" s="156">
        <f>VLOOKUP(A142,AuxOPEXSaneparOriginal!$B$4:$AE$177,30,0)</f>
        <v>0</v>
      </c>
      <c r="Q142" s="146">
        <f>VLOOKUP(A142,AuxOPEXSaneparOriginal!$B$4:$AF$177,31,0)</f>
        <v>2409867.2600000002</v>
      </c>
      <c r="R142" s="146">
        <f>VLOOKUP(A142,AuxOPEXSaneparOriginal!$B$4:$AG$177,32,0)</f>
        <v>0</v>
      </c>
      <c r="S142" s="146">
        <f>VLOOKUP(A142,AuxOPEXSaneparOriginal!$B$4:$AH$177,33,0)</f>
        <v>0</v>
      </c>
      <c r="T142" s="157">
        <f t="shared" si="443"/>
        <v>2409867.2600000002</v>
      </c>
      <c r="U142" s="156">
        <f>VLOOKUP(A142,AuxOPEXSaneparOriginal!$B$4:$AI$177,34,0)</f>
        <v>0</v>
      </c>
      <c r="V142" s="156">
        <f>VLOOKUP(A142,AuxOPEXSaneparOriginal!$B$4:$AJ$177,35,0)</f>
        <v>0</v>
      </c>
      <c r="W142" s="156">
        <f>VLOOKUP(A142,AuxOPEXSaneparOriginal!$B$4:$AK$177,36,0)</f>
        <v>0</v>
      </c>
      <c r="X142" s="19">
        <f>+VLOOKUP(A142,AuxOPEXSaneparOriginal!$B$4:$AL$177,37,0)</f>
        <v>0</v>
      </c>
      <c r="Y142" s="146">
        <f>VLOOKUP(A142,AuxOPEXSaneparOriginal!$B$4:$AM$177,38,0)</f>
        <v>2859254.99</v>
      </c>
      <c r="Z142" s="146">
        <f>VLOOKUP(A142,AuxOPEXSaneparOriginal!$B$4:$AN$177,39,0)</f>
        <v>0</v>
      </c>
      <c r="AA142" s="146">
        <f>VLOOKUP(A142,AuxOPEXSaneparOriginal!$B$4:$AO$177,40,0)</f>
        <v>0</v>
      </c>
      <c r="AB142" s="157">
        <f t="shared" si="444"/>
        <v>2859254.99</v>
      </c>
      <c r="AC142" s="156">
        <f>VLOOKUP(A142,AuxOPEXSaneparOriginal!$B$4:$AP$177,41,0)</f>
        <v>0</v>
      </c>
      <c r="AD142" s="156">
        <f>+VLOOKUP(A142,AuxOPEXSaneparOriginal!$B$4:$AQ$177,42,0)</f>
        <v>0</v>
      </c>
      <c r="AE142" s="156">
        <f>VLOOKUP(A142,AuxOPEXSaneparOriginal!$B$4:$AR$177,43,0)</f>
        <v>0</v>
      </c>
      <c r="AF142" s="156">
        <f>+VLOOKUP(A142,AuxOPEXSaneparOriginal!$B$4:$AS$177,44,0)</f>
        <v>0</v>
      </c>
      <c r="AG142" s="146">
        <f>VLOOKUP(A142,AuxOPEXSaneparOriginal!$B$4:$AT$177,45,0)</f>
        <v>3938662.81</v>
      </c>
      <c r="AH142" s="146">
        <f>VLOOKUP(A142,AuxOPEXSaneparOriginal!$B$4:$AU$177,46,0)</f>
        <v>0</v>
      </c>
      <c r="AI142" s="146">
        <f>VLOOKUP(A142,AuxOPEXSaneparOriginal!$B$4:$AV$177,47,0)</f>
        <v>0</v>
      </c>
      <c r="AJ142" s="157">
        <f t="shared" si="445"/>
        <v>3938662.81</v>
      </c>
      <c r="AK142" s="157">
        <f t="shared" si="490"/>
        <v>4671836.6599999983</v>
      </c>
      <c r="AL142" s="157">
        <f t="shared" si="491"/>
        <v>3398958.9000000004</v>
      </c>
      <c r="AM142" s="144"/>
      <c r="AN142" s="167">
        <f t="shared" si="496"/>
        <v>0</v>
      </c>
      <c r="AO142" s="168">
        <f t="shared" si="497"/>
        <v>0</v>
      </c>
      <c r="AP142" s="57">
        <f t="shared" si="498"/>
        <v>0</v>
      </c>
      <c r="AQ142" s="57">
        <f t="shared" si="499"/>
        <v>0</v>
      </c>
      <c r="AR142" s="57">
        <f t="shared" si="500"/>
        <v>9479561.5799999945</v>
      </c>
      <c r="AS142" s="57">
        <f t="shared" si="501"/>
        <v>0</v>
      </c>
      <c r="AT142" s="57">
        <f t="shared" si="502"/>
        <v>0</v>
      </c>
      <c r="AU142" s="157">
        <f t="shared" si="446"/>
        <v>9479561.5799999945</v>
      </c>
      <c r="AV142" s="57">
        <f t="shared" si="447"/>
        <v>0</v>
      </c>
      <c r="AW142" s="57">
        <f t="shared" si="448"/>
        <v>0</v>
      </c>
      <c r="AX142" s="57">
        <f t="shared" si="449"/>
        <v>0</v>
      </c>
      <c r="AY142" s="57">
        <f t="shared" si="450"/>
        <v>0</v>
      </c>
      <c r="AZ142" s="57">
        <f t="shared" si="451"/>
        <v>2409867.2600000002</v>
      </c>
      <c r="BA142" s="57">
        <f t="shared" si="452"/>
        <v>0</v>
      </c>
      <c r="BB142" s="57">
        <f t="shared" si="453"/>
        <v>0</v>
      </c>
      <c r="BC142" s="157">
        <f t="shared" si="454"/>
        <v>2409867.2600000002</v>
      </c>
      <c r="BD142" s="57">
        <f t="shared" si="455"/>
        <v>0</v>
      </c>
      <c r="BE142" s="57">
        <f t="shared" si="456"/>
        <v>0</v>
      </c>
      <c r="BF142" s="57">
        <f t="shared" si="457"/>
        <v>0</v>
      </c>
      <c r="BG142" s="57">
        <f t="shared" si="458"/>
        <v>0</v>
      </c>
      <c r="BH142" s="57">
        <f t="shared" si="459"/>
        <v>2859254.99</v>
      </c>
      <c r="BI142" s="57">
        <f t="shared" si="460"/>
        <v>0</v>
      </c>
      <c r="BJ142" s="57">
        <f t="shared" si="461"/>
        <v>0</v>
      </c>
      <c r="BK142" s="157">
        <f t="shared" si="462"/>
        <v>2859254.99</v>
      </c>
      <c r="BL142" s="57">
        <f t="shared" si="463"/>
        <v>0</v>
      </c>
      <c r="BM142" s="57">
        <f t="shared" si="464"/>
        <v>0</v>
      </c>
      <c r="BN142" s="57">
        <f t="shared" si="465"/>
        <v>0</v>
      </c>
      <c r="BO142" s="57">
        <f t="shared" si="466"/>
        <v>0</v>
      </c>
      <c r="BP142" s="57">
        <f t="shared" si="467"/>
        <v>3938662.81</v>
      </c>
      <c r="BQ142" s="57">
        <f t="shared" si="468"/>
        <v>0</v>
      </c>
      <c r="BR142" s="57">
        <f t="shared" si="469"/>
        <v>0</v>
      </c>
      <c r="BS142" s="157">
        <f t="shared" si="470"/>
        <v>3938662.81</v>
      </c>
      <c r="BT142" s="157">
        <f t="shared" si="344"/>
        <v>4671836.6599999983</v>
      </c>
      <c r="BU142" s="157">
        <f t="shared" si="345"/>
        <v>3398958.9000000004</v>
      </c>
      <c r="BV142" s="144"/>
      <c r="BW142" s="158">
        <f t="shared" si="471"/>
        <v>9479561.5799999945</v>
      </c>
      <c r="BX142" s="159">
        <f t="shared" si="472"/>
        <v>2409867.2600000002</v>
      </c>
      <c r="BY142" s="159">
        <f t="shared" si="473"/>
        <v>2859254.99</v>
      </c>
      <c r="BZ142" s="159">
        <f t="shared" si="474"/>
        <v>3938662.81</v>
      </c>
      <c r="CA142" s="158">
        <f t="shared" si="475"/>
        <v>4671836.6599999983</v>
      </c>
      <c r="CB142" s="157">
        <f t="shared" si="476"/>
        <v>3398958.9000000004</v>
      </c>
      <c r="CC142" s="144"/>
      <c r="CD142" s="158">
        <f t="shared" si="477"/>
        <v>10768667.252184875</v>
      </c>
      <c r="CE142" s="159">
        <f t="shared" si="478"/>
        <v>2631127.5355698182</v>
      </c>
      <c r="CF142" s="159">
        <f t="shared" si="479"/>
        <v>3022784.074717571</v>
      </c>
      <c r="CG142" s="159">
        <f t="shared" si="503"/>
        <v>3938662.81</v>
      </c>
      <c r="CH142" s="158">
        <f t="shared" si="504"/>
        <v>5090310.4181180662</v>
      </c>
      <c r="CI142" s="157">
        <f t="shared" si="481"/>
        <v>3480723.4423587853</v>
      </c>
      <c r="CK142" s="61">
        <f t="shared" si="482"/>
        <v>-0.75566822950760382</v>
      </c>
      <c r="CL142" s="62">
        <f t="shared" si="483"/>
        <v>0.1488550189426423</v>
      </c>
      <c r="CM142" s="63">
        <f t="shared" si="484"/>
        <v>0.30299178262278059</v>
      </c>
      <c r="CN142" s="61">
        <f t="shared" si="485"/>
        <v>-0.63424788622743655</v>
      </c>
      <c r="CO142" s="29"/>
      <c r="CP142" s="61">
        <f t="shared" si="486"/>
        <v>4.5364605788611213E-3</v>
      </c>
      <c r="CQ142" s="62">
        <f t="shared" si="487"/>
        <v>1.132924655133423E-3</v>
      </c>
      <c r="CR142" s="63">
        <f t="shared" si="488"/>
        <v>1.2552813911567312E-3</v>
      </c>
      <c r="CS142" s="61">
        <f t="shared" si="489"/>
        <v>1.6273896374963033E-3</v>
      </c>
      <c r="CU142" s="60">
        <f t="shared" si="492"/>
        <v>100</v>
      </c>
      <c r="CV142" s="132">
        <f t="shared" si="493"/>
        <v>24.433177049239625</v>
      </c>
      <c r="CW142" s="132">
        <f t="shared" si="494"/>
        <v>28.070178081733122</v>
      </c>
      <c r="CX142" s="131">
        <f t="shared" si="495"/>
        <v>36.575211377256338</v>
      </c>
    </row>
    <row r="143" spans="1:102">
      <c r="A143" s="214">
        <v>419</v>
      </c>
      <c r="B143" s="214" t="s">
        <v>6</v>
      </c>
      <c r="C143" s="215" t="s">
        <v>174</v>
      </c>
      <c r="D143" s="216">
        <v>1</v>
      </c>
      <c r="E143" s="57">
        <f>VLOOKUP(A143,AuxOPEXSaneparOriginal!$B$4:$F$177,3,0)</f>
        <v>1740</v>
      </c>
      <c r="F143" s="156">
        <f>VLOOKUP(A143,AuxOPEXSaneparOriginal!$B$4:$F$177,4,0)</f>
        <v>0</v>
      </c>
      <c r="G143" s="57">
        <f>VLOOKUP(A143,AuxOPEXSaneparOriginal!$B$4:$K$177,8,0)</f>
        <v>0</v>
      </c>
      <c r="H143" s="156">
        <f>VLOOKUP(A143,AuxOPEXSaneparOriginal!$B$4:$K$177,9,0)</f>
        <v>0</v>
      </c>
      <c r="I143" s="57">
        <f>VLOOKUP(A143,AuxOPEXSaneparOriginal!$B$4:$N$177,13,0)</f>
        <v>196.99</v>
      </c>
      <c r="J143" s="57">
        <f>VLOOKUP(A143,AuxOPEXSaneparOriginal!$B$4:$Q$177,16,0)</f>
        <v>401674.75</v>
      </c>
      <c r="K143" s="57">
        <f>VLOOKUP(A143,AuxOPEXSaneparOriginal!$B$4:$V$177,21,0)</f>
        <v>0</v>
      </c>
      <c r="L143" s="157">
        <f t="shared" si="442"/>
        <v>403611.74</v>
      </c>
      <c r="M143" s="19">
        <f>VLOOKUP(A143,AuxOPEXSaneparOriginal!$B$4:$AB$177,27,0)</f>
        <v>0</v>
      </c>
      <c r="N143" s="156">
        <f>VLOOKUP(A143,AuxOPEXSaneparOriginal!$B$4:$AC$177,28,0)</f>
        <v>0</v>
      </c>
      <c r="O143" s="156">
        <f>VLOOKUP(A143,AuxOPEXSaneparOriginal!$B$4:$AD$177,29,0)</f>
        <v>0</v>
      </c>
      <c r="P143" s="156">
        <f>VLOOKUP(A143,AuxOPEXSaneparOriginal!$B$4:$AE$177,30,0)</f>
        <v>0</v>
      </c>
      <c r="Q143" s="146">
        <f>VLOOKUP(A143,AuxOPEXSaneparOriginal!$B$4:$AF$177,31,0)</f>
        <v>0</v>
      </c>
      <c r="R143" s="146">
        <f>VLOOKUP(A143,AuxOPEXSaneparOriginal!$B$4:$AG$177,32,0)</f>
        <v>246966.30000000002</v>
      </c>
      <c r="S143" s="146">
        <f>VLOOKUP(A143,AuxOPEXSaneparOriginal!$B$4:$AH$177,33,0)</f>
        <v>0</v>
      </c>
      <c r="T143" s="157">
        <f t="shared" si="443"/>
        <v>246966.30000000002</v>
      </c>
      <c r="U143" s="156">
        <f>VLOOKUP(A143,AuxOPEXSaneparOriginal!$B$4:$AI$177,34,0)</f>
        <v>0</v>
      </c>
      <c r="V143" s="156">
        <f>VLOOKUP(A143,AuxOPEXSaneparOriginal!$B$4:$AJ$177,35,0)</f>
        <v>0</v>
      </c>
      <c r="W143" s="156">
        <f>VLOOKUP(A143,AuxOPEXSaneparOriginal!$B$4:$AK$177,36,0)</f>
        <v>0</v>
      </c>
      <c r="X143" s="19">
        <f>+VLOOKUP(A143,AuxOPEXSaneparOriginal!$B$4:$AL$177,37,0)</f>
        <v>650</v>
      </c>
      <c r="Y143" s="146">
        <f>VLOOKUP(A143,AuxOPEXSaneparOriginal!$B$4:$AM$177,38,0)</f>
        <v>979</v>
      </c>
      <c r="Z143" s="146">
        <f>VLOOKUP(A143,AuxOPEXSaneparOriginal!$B$4:$AN$177,39,0)</f>
        <v>208130.99</v>
      </c>
      <c r="AA143" s="146">
        <f>VLOOKUP(A143,AuxOPEXSaneparOriginal!$B$4:$AO$177,40,0)</f>
        <v>0</v>
      </c>
      <c r="AB143" s="157">
        <f t="shared" si="444"/>
        <v>209759.99</v>
      </c>
      <c r="AC143" s="156">
        <f>VLOOKUP(A143,AuxOPEXSaneparOriginal!$B$4:$AP$177,41,0)</f>
        <v>0</v>
      </c>
      <c r="AD143" s="156">
        <f>+VLOOKUP(A143,AuxOPEXSaneparOriginal!$B$4:$AQ$177,42,0)</f>
        <v>560</v>
      </c>
      <c r="AE143" s="156">
        <f>VLOOKUP(A143,AuxOPEXSaneparOriginal!$B$4:$AR$177,43,0)</f>
        <v>0</v>
      </c>
      <c r="AF143" s="156">
        <f>+VLOOKUP(A143,AuxOPEXSaneparOriginal!$B$4:$AS$177,44,0)</f>
        <v>0</v>
      </c>
      <c r="AG143" s="146">
        <f>VLOOKUP(A143,AuxOPEXSaneparOriginal!$B$4:$AT$177,45,0)</f>
        <v>0</v>
      </c>
      <c r="AH143" s="146">
        <f>VLOOKUP(A143,AuxOPEXSaneparOriginal!$B$4:$AU$177,46,0)</f>
        <v>25895.9</v>
      </c>
      <c r="AI143" s="146">
        <f>VLOOKUP(A143,AuxOPEXSaneparOriginal!$B$4:$AV$177,47,0)</f>
        <v>0</v>
      </c>
      <c r="AJ143" s="157">
        <f t="shared" si="445"/>
        <v>26455.9</v>
      </c>
      <c r="AK143" s="157">
        <f t="shared" si="490"/>
        <v>221698.48249999998</v>
      </c>
      <c r="AL143" s="157">
        <f t="shared" si="491"/>
        <v>118107.94499999999</v>
      </c>
      <c r="AM143" s="144"/>
      <c r="AN143" s="167">
        <f t="shared" si="496"/>
        <v>0</v>
      </c>
      <c r="AO143" s="168">
        <f t="shared" si="497"/>
        <v>0</v>
      </c>
      <c r="AP143" s="57">
        <f t="shared" si="498"/>
        <v>0</v>
      </c>
      <c r="AQ143" s="57">
        <f t="shared" si="499"/>
        <v>0</v>
      </c>
      <c r="AR143" s="57">
        <f t="shared" si="500"/>
        <v>0</v>
      </c>
      <c r="AS143" s="57">
        <f t="shared" si="501"/>
        <v>0</v>
      </c>
      <c r="AT143" s="57">
        <f t="shared" si="502"/>
        <v>0</v>
      </c>
      <c r="AU143" s="157">
        <f t="shared" si="446"/>
        <v>0</v>
      </c>
      <c r="AV143" s="57">
        <f t="shared" si="447"/>
        <v>0</v>
      </c>
      <c r="AW143" s="57">
        <f t="shared" si="448"/>
        <v>0</v>
      </c>
      <c r="AX143" s="57">
        <f t="shared" si="449"/>
        <v>0</v>
      </c>
      <c r="AY143" s="57">
        <f t="shared" si="450"/>
        <v>0</v>
      </c>
      <c r="AZ143" s="57">
        <f t="shared" si="451"/>
        <v>0</v>
      </c>
      <c r="BA143" s="57">
        <f t="shared" si="452"/>
        <v>0</v>
      </c>
      <c r="BB143" s="57">
        <f t="shared" si="453"/>
        <v>0</v>
      </c>
      <c r="BC143" s="157">
        <f t="shared" si="454"/>
        <v>0</v>
      </c>
      <c r="BD143" s="57">
        <f t="shared" si="455"/>
        <v>0</v>
      </c>
      <c r="BE143" s="57">
        <f t="shared" si="456"/>
        <v>0</v>
      </c>
      <c r="BF143" s="57">
        <f t="shared" si="457"/>
        <v>0</v>
      </c>
      <c r="BG143" s="57">
        <f t="shared" si="458"/>
        <v>0</v>
      </c>
      <c r="BH143" s="57">
        <f t="shared" si="459"/>
        <v>0</v>
      </c>
      <c r="BI143" s="57">
        <f t="shared" si="460"/>
        <v>0</v>
      </c>
      <c r="BJ143" s="57">
        <f t="shared" si="461"/>
        <v>0</v>
      </c>
      <c r="BK143" s="157">
        <f t="shared" si="462"/>
        <v>0</v>
      </c>
      <c r="BL143" s="57">
        <f t="shared" si="463"/>
        <v>0</v>
      </c>
      <c r="BM143" s="57">
        <f t="shared" si="464"/>
        <v>0</v>
      </c>
      <c r="BN143" s="57">
        <f t="shared" si="465"/>
        <v>0</v>
      </c>
      <c r="BO143" s="57">
        <f t="shared" si="466"/>
        <v>0</v>
      </c>
      <c r="BP143" s="57">
        <f t="shared" si="467"/>
        <v>0</v>
      </c>
      <c r="BQ143" s="57">
        <f t="shared" si="468"/>
        <v>0</v>
      </c>
      <c r="BR143" s="57">
        <f t="shared" si="469"/>
        <v>0</v>
      </c>
      <c r="BS143" s="157">
        <f t="shared" si="470"/>
        <v>0</v>
      </c>
      <c r="BT143" s="157">
        <f t="shared" si="344"/>
        <v>0</v>
      </c>
      <c r="BU143" s="157">
        <f t="shared" si="345"/>
        <v>0</v>
      </c>
      <c r="BV143" s="144"/>
      <c r="BW143" s="158">
        <f t="shared" si="471"/>
        <v>0</v>
      </c>
      <c r="BX143" s="159">
        <f t="shared" si="472"/>
        <v>0</v>
      </c>
      <c r="BY143" s="159">
        <f t="shared" si="473"/>
        <v>0</v>
      </c>
      <c r="BZ143" s="159">
        <f t="shared" si="474"/>
        <v>0</v>
      </c>
      <c r="CA143" s="158">
        <f t="shared" si="475"/>
        <v>0</v>
      </c>
      <c r="CB143" s="157">
        <f t="shared" si="476"/>
        <v>0</v>
      </c>
      <c r="CC143" s="144"/>
      <c r="CD143" s="158">
        <f t="shared" si="477"/>
        <v>0</v>
      </c>
      <c r="CE143" s="159">
        <f t="shared" si="478"/>
        <v>0</v>
      </c>
      <c r="CF143" s="159">
        <f t="shared" si="479"/>
        <v>0</v>
      </c>
      <c r="CG143" s="159">
        <f t="shared" si="503"/>
        <v>0</v>
      </c>
      <c r="CH143" s="158">
        <f t="shared" si="504"/>
        <v>0</v>
      </c>
      <c r="CI143" s="157">
        <f t="shared" si="481"/>
        <v>0</v>
      </c>
      <c r="CK143" s="61">
        <f t="shared" si="482"/>
        <v>0</v>
      </c>
      <c r="CL143" s="62">
        <f t="shared" si="483"/>
        <v>0</v>
      </c>
      <c r="CM143" s="63">
        <f t="shared" si="484"/>
        <v>0</v>
      </c>
      <c r="CN143" s="61">
        <f t="shared" si="485"/>
        <v>0</v>
      </c>
      <c r="CO143" s="29"/>
      <c r="CP143" s="61">
        <f t="shared" si="486"/>
        <v>0</v>
      </c>
      <c r="CQ143" s="62">
        <f t="shared" si="487"/>
        <v>0</v>
      </c>
      <c r="CR143" s="63">
        <f t="shared" si="488"/>
        <v>0</v>
      </c>
      <c r="CS143" s="61">
        <f t="shared" si="489"/>
        <v>0</v>
      </c>
      <c r="CU143" s="60">
        <f t="shared" si="492"/>
        <v>0</v>
      </c>
      <c r="CV143" s="132">
        <f t="shared" si="493"/>
        <v>0</v>
      </c>
      <c r="CW143" s="132">
        <f t="shared" si="494"/>
        <v>0</v>
      </c>
      <c r="CX143" s="131">
        <f t="shared" si="495"/>
        <v>0</v>
      </c>
    </row>
    <row r="144" spans="1:102">
      <c r="A144" s="64">
        <v>421</v>
      </c>
      <c r="B144" s="64" t="s">
        <v>6</v>
      </c>
      <c r="C144" s="65" t="s">
        <v>175</v>
      </c>
      <c r="D144" s="66">
        <v>1</v>
      </c>
      <c r="E144" s="57">
        <f>VLOOKUP(A144,AuxOPEXSaneparOriginal!$B$4:$F$177,3,0)</f>
        <v>1313422.9400000002</v>
      </c>
      <c r="F144" s="156">
        <f>VLOOKUP(A144,AuxOPEXSaneparOriginal!$B$4:$F$177,4,0)</f>
        <v>0</v>
      </c>
      <c r="G144" s="57">
        <f>VLOOKUP(A144,AuxOPEXSaneparOriginal!$B$4:$K$177,8,0)</f>
        <v>0</v>
      </c>
      <c r="H144" s="156">
        <f>VLOOKUP(A144,AuxOPEXSaneparOriginal!$B$4:$K$177,9,0)</f>
        <v>0</v>
      </c>
      <c r="I144" s="57">
        <f>VLOOKUP(A144,AuxOPEXSaneparOriginal!$B$4:$N$177,13,0)</f>
        <v>0</v>
      </c>
      <c r="J144" s="57">
        <f>VLOOKUP(A144,AuxOPEXSaneparOriginal!$B$4:$Q$177,16,0)</f>
        <v>0</v>
      </c>
      <c r="K144" s="57">
        <f>VLOOKUP(A144,AuxOPEXSaneparOriginal!$B$4:$V$177,21,0)</f>
        <v>0</v>
      </c>
      <c r="L144" s="157">
        <f t="shared" si="442"/>
        <v>1313422.9400000002</v>
      </c>
      <c r="M144" s="19">
        <f>VLOOKUP(A144,AuxOPEXSaneparOriginal!$B$4:$AB$177,27,0)</f>
        <v>1248579.54</v>
      </c>
      <c r="N144" s="156">
        <f>VLOOKUP(A144,AuxOPEXSaneparOriginal!$B$4:$AC$177,28,0)</f>
        <v>0</v>
      </c>
      <c r="O144" s="156">
        <f>VLOOKUP(A144,AuxOPEXSaneparOriginal!$B$4:$AD$177,29,0)</f>
        <v>0</v>
      </c>
      <c r="P144" s="156">
        <f>VLOOKUP(A144,AuxOPEXSaneparOriginal!$B$4:$AE$177,30,0)</f>
        <v>0</v>
      </c>
      <c r="Q144" s="146">
        <f>VLOOKUP(A144,AuxOPEXSaneparOriginal!$B$4:$AF$177,31,0)</f>
        <v>0</v>
      </c>
      <c r="R144" s="146">
        <f>VLOOKUP(A144,AuxOPEXSaneparOriginal!$B$4:$AG$177,32,0)</f>
        <v>0</v>
      </c>
      <c r="S144" s="146">
        <f>VLOOKUP(A144,AuxOPEXSaneparOriginal!$B$4:$AH$177,33,0)</f>
        <v>0</v>
      </c>
      <c r="T144" s="157">
        <f t="shared" si="443"/>
        <v>1248579.54</v>
      </c>
      <c r="U144" s="156">
        <f>VLOOKUP(A144,AuxOPEXSaneparOriginal!$B$4:$AI$177,34,0)</f>
        <v>1220832.3500000001</v>
      </c>
      <c r="V144" s="156">
        <f>VLOOKUP(A144,AuxOPEXSaneparOriginal!$B$4:$AJ$177,35,0)</f>
        <v>0</v>
      </c>
      <c r="W144" s="156">
        <f>VLOOKUP(A144,AuxOPEXSaneparOriginal!$B$4:$AK$177,36,0)</f>
        <v>0</v>
      </c>
      <c r="X144" s="19">
        <f>+VLOOKUP(A144,AuxOPEXSaneparOriginal!$B$4:$AL$177,37,0)</f>
        <v>0</v>
      </c>
      <c r="Y144" s="146">
        <f>VLOOKUP(A144,AuxOPEXSaneparOriginal!$B$4:$AM$177,38,0)</f>
        <v>0</v>
      </c>
      <c r="Z144" s="146">
        <f>VLOOKUP(A144,AuxOPEXSaneparOriginal!$B$4:$AN$177,39,0)</f>
        <v>0</v>
      </c>
      <c r="AA144" s="146">
        <f>VLOOKUP(A144,AuxOPEXSaneparOriginal!$B$4:$AO$177,40,0)</f>
        <v>0</v>
      </c>
      <c r="AB144" s="157">
        <f t="shared" si="444"/>
        <v>1220832.3500000001</v>
      </c>
      <c r="AC144" s="156">
        <f>VLOOKUP(A144,AuxOPEXSaneparOriginal!$B$4:$AP$177,41,0)</f>
        <v>1409017.2300000002</v>
      </c>
      <c r="AD144" s="156">
        <f>+VLOOKUP(A144,AuxOPEXSaneparOriginal!$B$4:$AQ$177,42,0)</f>
        <v>0</v>
      </c>
      <c r="AE144" s="156">
        <f>VLOOKUP(A144,AuxOPEXSaneparOriginal!$B$4:$AR$177,43,0)</f>
        <v>0</v>
      </c>
      <c r="AF144" s="156">
        <f>+VLOOKUP(A144,AuxOPEXSaneparOriginal!$B$4:$AS$177,44,0)</f>
        <v>0</v>
      </c>
      <c r="AG144" s="146">
        <f>VLOOKUP(A144,AuxOPEXSaneparOriginal!$B$4:$AT$177,45,0)</f>
        <v>0</v>
      </c>
      <c r="AH144" s="146">
        <f>VLOOKUP(A144,AuxOPEXSaneparOriginal!$B$4:$AU$177,46,0)</f>
        <v>0</v>
      </c>
      <c r="AI144" s="146">
        <f>VLOOKUP(A144,AuxOPEXSaneparOriginal!$B$4:$AV$177,47,0)</f>
        <v>0</v>
      </c>
      <c r="AJ144" s="157">
        <f t="shared" si="445"/>
        <v>1409017.2300000002</v>
      </c>
      <c r="AK144" s="157">
        <f t="shared" si="490"/>
        <v>1297963.0150000001</v>
      </c>
      <c r="AL144" s="157">
        <f t="shared" si="491"/>
        <v>1314924.79</v>
      </c>
      <c r="AM144" s="144"/>
      <c r="AN144" s="167">
        <f t="shared" si="496"/>
        <v>0</v>
      </c>
      <c r="AO144" s="168">
        <f t="shared" si="497"/>
        <v>0</v>
      </c>
      <c r="AP144" s="57">
        <f t="shared" si="498"/>
        <v>0</v>
      </c>
      <c r="AQ144" s="57">
        <f t="shared" si="499"/>
        <v>0</v>
      </c>
      <c r="AR144" s="57">
        <f t="shared" si="500"/>
        <v>0</v>
      </c>
      <c r="AS144" s="57">
        <f t="shared" si="501"/>
        <v>0</v>
      </c>
      <c r="AT144" s="57">
        <f t="shared" si="502"/>
        <v>0</v>
      </c>
      <c r="AU144" s="157">
        <f t="shared" si="446"/>
        <v>0</v>
      </c>
      <c r="AV144" s="57">
        <f t="shared" si="447"/>
        <v>0</v>
      </c>
      <c r="AW144" s="57">
        <f t="shared" si="448"/>
        <v>0</v>
      </c>
      <c r="AX144" s="57">
        <f t="shared" si="449"/>
        <v>0</v>
      </c>
      <c r="AY144" s="57">
        <f t="shared" si="450"/>
        <v>0</v>
      </c>
      <c r="AZ144" s="57">
        <f t="shared" si="451"/>
        <v>0</v>
      </c>
      <c r="BA144" s="57">
        <f t="shared" si="452"/>
        <v>0</v>
      </c>
      <c r="BB144" s="57">
        <f t="shared" si="453"/>
        <v>0</v>
      </c>
      <c r="BC144" s="157">
        <f t="shared" si="454"/>
        <v>0</v>
      </c>
      <c r="BD144" s="57">
        <f t="shared" si="455"/>
        <v>0</v>
      </c>
      <c r="BE144" s="57">
        <f t="shared" si="456"/>
        <v>0</v>
      </c>
      <c r="BF144" s="57">
        <f t="shared" si="457"/>
        <v>0</v>
      </c>
      <c r="BG144" s="57">
        <f t="shared" si="458"/>
        <v>0</v>
      </c>
      <c r="BH144" s="57">
        <f t="shared" si="459"/>
        <v>0</v>
      </c>
      <c r="BI144" s="57">
        <f t="shared" si="460"/>
        <v>0</v>
      </c>
      <c r="BJ144" s="57">
        <f t="shared" si="461"/>
        <v>0</v>
      </c>
      <c r="BK144" s="157">
        <f t="shared" si="462"/>
        <v>0</v>
      </c>
      <c r="BL144" s="57">
        <f t="shared" si="463"/>
        <v>0</v>
      </c>
      <c r="BM144" s="57">
        <f t="shared" si="464"/>
        <v>0</v>
      </c>
      <c r="BN144" s="57">
        <f t="shared" si="465"/>
        <v>0</v>
      </c>
      <c r="BO144" s="57">
        <f t="shared" si="466"/>
        <v>0</v>
      </c>
      <c r="BP144" s="57">
        <f t="shared" si="467"/>
        <v>0</v>
      </c>
      <c r="BQ144" s="57">
        <f t="shared" si="468"/>
        <v>0</v>
      </c>
      <c r="BR144" s="57">
        <f t="shared" si="469"/>
        <v>0</v>
      </c>
      <c r="BS144" s="157">
        <f t="shared" si="470"/>
        <v>0</v>
      </c>
      <c r="BT144" s="157">
        <f t="shared" si="344"/>
        <v>0</v>
      </c>
      <c r="BU144" s="157">
        <f t="shared" si="345"/>
        <v>0</v>
      </c>
      <c r="BV144" s="144"/>
      <c r="BW144" s="158">
        <f t="shared" si="471"/>
        <v>0</v>
      </c>
      <c r="BX144" s="159">
        <f t="shared" si="472"/>
        <v>0</v>
      </c>
      <c r="BY144" s="159">
        <f t="shared" si="473"/>
        <v>0</v>
      </c>
      <c r="BZ144" s="159">
        <f t="shared" si="474"/>
        <v>0</v>
      </c>
      <c r="CA144" s="158">
        <f t="shared" si="475"/>
        <v>0</v>
      </c>
      <c r="CB144" s="157">
        <f t="shared" si="476"/>
        <v>0</v>
      </c>
      <c r="CC144" s="144"/>
      <c r="CD144" s="158">
        <f t="shared" si="477"/>
        <v>0</v>
      </c>
      <c r="CE144" s="159">
        <f t="shared" si="478"/>
        <v>0</v>
      </c>
      <c r="CF144" s="159">
        <f t="shared" si="479"/>
        <v>0</v>
      </c>
      <c r="CG144" s="159">
        <f t="shared" si="503"/>
        <v>0</v>
      </c>
      <c r="CH144" s="158">
        <f t="shared" si="504"/>
        <v>0</v>
      </c>
      <c r="CI144" s="157">
        <f t="shared" si="481"/>
        <v>0</v>
      </c>
      <c r="CK144" s="61">
        <f t="shared" si="482"/>
        <v>0</v>
      </c>
      <c r="CL144" s="62">
        <f t="shared" si="483"/>
        <v>0</v>
      </c>
      <c r="CM144" s="63">
        <f t="shared" si="484"/>
        <v>0</v>
      </c>
      <c r="CN144" s="61">
        <f t="shared" si="485"/>
        <v>0</v>
      </c>
      <c r="CO144" s="29"/>
      <c r="CP144" s="61">
        <f t="shared" si="486"/>
        <v>0</v>
      </c>
      <c r="CQ144" s="62">
        <f t="shared" si="487"/>
        <v>0</v>
      </c>
      <c r="CR144" s="63">
        <f t="shared" si="488"/>
        <v>0</v>
      </c>
      <c r="CS144" s="61">
        <f t="shared" si="489"/>
        <v>0</v>
      </c>
      <c r="CU144" s="60">
        <f t="shared" si="492"/>
        <v>0</v>
      </c>
      <c r="CV144" s="132">
        <f t="shared" si="493"/>
        <v>0</v>
      </c>
      <c r="CW144" s="132">
        <f t="shared" si="494"/>
        <v>0</v>
      </c>
      <c r="CX144" s="131">
        <f t="shared" si="495"/>
        <v>0</v>
      </c>
    </row>
    <row r="145" spans="1:102">
      <c r="A145" s="214">
        <v>956</v>
      </c>
      <c r="B145" s="214" t="s">
        <v>6</v>
      </c>
      <c r="C145" s="215" t="s">
        <v>176</v>
      </c>
      <c r="D145" s="216">
        <v>1</v>
      </c>
      <c r="E145" s="57">
        <f>VLOOKUP(A145,AuxOPEXSaneparOriginal!$B$4:$F$177,3,0)</f>
        <v>0</v>
      </c>
      <c r="F145" s="156">
        <f>VLOOKUP(A145,AuxOPEXSaneparOriginal!$B$4:$F$177,4,0)</f>
        <v>0</v>
      </c>
      <c r="G145" s="57">
        <f>VLOOKUP(A145,AuxOPEXSaneparOriginal!$B$4:$K$177,8,0)</f>
        <v>0</v>
      </c>
      <c r="H145" s="156">
        <f>VLOOKUP(A145,AuxOPEXSaneparOriginal!$B$4:$K$177,9,0)</f>
        <v>0</v>
      </c>
      <c r="I145" s="57">
        <f>VLOOKUP(A145,AuxOPEXSaneparOriginal!$B$4:$N$177,13,0)</f>
        <v>0</v>
      </c>
      <c r="J145" s="57">
        <f>VLOOKUP(A145,AuxOPEXSaneparOriginal!$B$4:$Q$177,16,0)</f>
        <v>0</v>
      </c>
      <c r="K145" s="57">
        <f>VLOOKUP(A145,AuxOPEXSaneparOriginal!$B$4:$V$177,21,0)</f>
        <v>2134206.06</v>
      </c>
      <c r="L145" s="157">
        <f t="shared" si="442"/>
        <v>2134206.06</v>
      </c>
      <c r="M145" s="19">
        <f>VLOOKUP(A145,AuxOPEXSaneparOriginal!$B$4:$AB$177,27,0)</f>
        <v>0</v>
      </c>
      <c r="N145" s="156">
        <f>VLOOKUP(A145,AuxOPEXSaneparOriginal!$B$4:$AC$177,28,0)</f>
        <v>0</v>
      </c>
      <c r="O145" s="156">
        <f>VLOOKUP(A145,AuxOPEXSaneparOriginal!$B$4:$AD$177,29,0)</f>
        <v>0</v>
      </c>
      <c r="P145" s="156">
        <f>VLOOKUP(A145,AuxOPEXSaneparOriginal!$B$4:$AE$177,30,0)</f>
        <v>0</v>
      </c>
      <c r="Q145" s="146">
        <f>VLOOKUP(A145,AuxOPEXSaneparOriginal!$B$4:$AF$177,31,0)</f>
        <v>0</v>
      </c>
      <c r="R145" s="146">
        <f>VLOOKUP(A145,AuxOPEXSaneparOriginal!$B$4:$AG$177,32,0)</f>
        <v>0</v>
      </c>
      <c r="S145" s="146">
        <f>VLOOKUP(A145,AuxOPEXSaneparOriginal!$B$4:$AH$177,33,0)</f>
        <v>77490.909999999974</v>
      </c>
      <c r="T145" s="157">
        <f t="shared" si="443"/>
        <v>77490.909999999974</v>
      </c>
      <c r="U145" s="156">
        <f>VLOOKUP(A145,AuxOPEXSaneparOriginal!$B$4:$AI$177,34,0)</f>
        <v>0</v>
      </c>
      <c r="V145" s="156">
        <f>VLOOKUP(A145,AuxOPEXSaneparOriginal!$B$4:$AJ$177,35,0)</f>
        <v>0</v>
      </c>
      <c r="W145" s="156">
        <f>VLOOKUP(A145,AuxOPEXSaneparOriginal!$B$4:$AK$177,36,0)</f>
        <v>0</v>
      </c>
      <c r="X145" s="19">
        <f>+VLOOKUP(A145,AuxOPEXSaneparOriginal!$B$4:$AL$177,37,0)</f>
        <v>0</v>
      </c>
      <c r="Y145" s="146">
        <f>VLOOKUP(A145,AuxOPEXSaneparOriginal!$B$4:$AM$177,38,0)</f>
        <v>0</v>
      </c>
      <c r="Z145" s="146">
        <f>VLOOKUP(A145,AuxOPEXSaneparOriginal!$B$4:$AN$177,39,0)</f>
        <v>0</v>
      </c>
      <c r="AA145" s="146">
        <f>VLOOKUP(A145,AuxOPEXSaneparOriginal!$B$4:$AO$177,40,0)</f>
        <v>28747871.829999998</v>
      </c>
      <c r="AB145" s="157">
        <f t="shared" si="444"/>
        <v>28747871.829999998</v>
      </c>
      <c r="AC145" s="156">
        <f>VLOOKUP(A145,AuxOPEXSaneparOriginal!$B$4:$AP$177,41,0)</f>
        <v>0</v>
      </c>
      <c r="AD145" s="156">
        <f>+VLOOKUP(A145,AuxOPEXSaneparOriginal!$B$4:$AQ$177,42,0)</f>
        <v>0</v>
      </c>
      <c r="AE145" s="156">
        <f>VLOOKUP(A145,AuxOPEXSaneparOriginal!$B$4:$AR$177,43,0)</f>
        <v>0</v>
      </c>
      <c r="AF145" s="156">
        <f>+VLOOKUP(A145,AuxOPEXSaneparOriginal!$B$4:$AS$177,44,0)</f>
        <v>0</v>
      </c>
      <c r="AG145" s="146">
        <f>VLOOKUP(A145,AuxOPEXSaneparOriginal!$B$4:$AT$177,45,0)</f>
        <v>0</v>
      </c>
      <c r="AH145" s="146">
        <f>VLOOKUP(A145,AuxOPEXSaneparOriginal!$B$4:$AU$177,46,0)</f>
        <v>0</v>
      </c>
      <c r="AI145" s="146">
        <f>VLOOKUP(A145,AuxOPEXSaneparOriginal!$B$4:$AV$177,47,0)</f>
        <v>37711486.710000001</v>
      </c>
      <c r="AJ145" s="157">
        <f t="shared" si="445"/>
        <v>37711486.710000001</v>
      </c>
      <c r="AK145" s="157">
        <f t="shared" si="490"/>
        <v>17167763.877499998</v>
      </c>
      <c r="AL145" s="157">
        <f t="shared" si="491"/>
        <v>33229679.27</v>
      </c>
      <c r="AM145" s="144"/>
      <c r="AN145" s="167">
        <f t="shared" si="496"/>
        <v>0</v>
      </c>
      <c r="AO145" s="168">
        <f t="shared" si="497"/>
        <v>0</v>
      </c>
      <c r="AP145" s="57">
        <f t="shared" si="498"/>
        <v>0</v>
      </c>
      <c r="AQ145" s="57">
        <f t="shared" si="499"/>
        <v>0</v>
      </c>
      <c r="AR145" s="57">
        <f t="shared" si="500"/>
        <v>0</v>
      </c>
      <c r="AS145" s="57">
        <f t="shared" si="501"/>
        <v>0</v>
      </c>
      <c r="AT145" s="57">
        <f t="shared" si="502"/>
        <v>0</v>
      </c>
      <c r="AU145" s="157">
        <f t="shared" si="446"/>
        <v>0</v>
      </c>
      <c r="AV145" s="57">
        <f t="shared" si="447"/>
        <v>0</v>
      </c>
      <c r="AW145" s="57">
        <f t="shared" si="448"/>
        <v>0</v>
      </c>
      <c r="AX145" s="57">
        <f t="shared" si="449"/>
        <v>0</v>
      </c>
      <c r="AY145" s="57">
        <f t="shared" si="450"/>
        <v>0</v>
      </c>
      <c r="AZ145" s="57">
        <f t="shared" si="451"/>
        <v>0</v>
      </c>
      <c r="BA145" s="57">
        <f t="shared" si="452"/>
        <v>0</v>
      </c>
      <c r="BB145" s="57">
        <f t="shared" si="453"/>
        <v>0</v>
      </c>
      <c r="BC145" s="157">
        <f t="shared" si="454"/>
        <v>0</v>
      </c>
      <c r="BD145" s="57">
        <f t="shared" si="455"/>
        <v>0</v>
      </c>
      <c r="BE145" s="57">
        <f t="shared" si="456"/>
        <v>0</v>
      </c>
      <c r="BF145" s="57">
        <f t="shared" si="457"/>
        <v>0</v>
      </c>
      <c r="BG145" s="57">
        <f t="shared" si="458"/>
        <v>0</v>
      </c>
      <c r="BH145" s="57">
        <f t="shared" si="459"/>
        <v>0</v>
      </c>
      <c r="BI145" s="57">
        <f t="shared" si="460"/>
        <v>0</v>
      </c>
      <c r="BJ145" s="57">
        <f t="shared" si="461"/>
        <v>0</v>
      </c>
      <c r="BK145" s="157">
        <f t="shared" si="462"/>
        <v>0</v>
      </c>
      <c r="BL145" s="57">
        <f t="shared" si="463"/>
        <v>0</v>
      </c>
      <c r="BM145" s="57">
        <f t="shared" si="464"/>
        <v>0</v>
      </c>
      <c r="BN145" s="57">
        <f t="shared" si="465"/>
        <v>0</v>
      </c>
      <c r="BO145" s="57">
        <f t="shared" si="466"/>
        <v>0</v>
      </c>
      <c r="BP145" s="57">
        <f t="shared" si="467"/>
        <v>0</v>
      </c>
      <c r="BQ145" s="57">
        <f t="shared" si="468"/>
        <v>0</v>
      </c>
      <c r="BR145" s="57">
        <f t="shared" si="469"/>
        <v>0</v>
      </c>
      <c r="BS145" s="157">
        <f t="shared" si="470"/>
        <v>0</v>
      </c>
      <c r="BT145" s="157">
        <f t="shared" si="344"/>
        <v>0</v>
      </c>
      <c r="BU145" s="157">
        <f t="shared" si="345"/>
        <v>0</v>
      </c>
      <c r="BV145" s="144"/>
      <c r="BW145" s="158">
        <f t="shared" si="471"/>
        <v>0</v>
      </c>
      <c r="BX145" s="159">
        <f t="shared" si="472"/>
        <v>0</v>
      </c>
      <c r="BY145" s="159">
        <f t="shared" si="473"/>
        <v>0</v>
      </c>
      <c r="BZ145" s="159">
        <f t="shared" si="474"/>
        <v>0</v>
      </c>
      <c r="CA145" s="158">
        <f t="shared" si="475"/>
        <v>0</v>
      </c>
      <c r="CB145" s="157">
        <f t="shared" si="476"/>
        <v>0</v>
      </c>
      <c r="CC145" s="144"/>
      <c r="CD145" s="158">
        <f t="shared" si="477"/>
        <v>0</v>
      </c>
      <c r="CE145" s="159">
        <f t="shared" si="478"/>
        <v>0</v>
      </c>
      <c r="CF145" s="159">
        <f t="shared" si="479"/>
        <v>0</v>
      </c>
      <c r="CG145" s="159">
        <f t="shared" si="503"/>
        <v>0</v>
      </c>
      <c r="CH145" s="158">
        <f t="shared" si="504"/>
        <v>0</v>
      </c>
      <c r="CI145" s="157">
        <f t="shared" si="481"/>
        <v>0</v>
      </c>
      <c r="CK145" s="61">
        <f t="shared" si="482"/>
        <v>0</v>
      </c>
      <c r="CL145" s="62">
        <f t="shared" si="483"/>
        <v>0</v>
      </c>
      <c r="CM145" s="63">
        <f t="shared" si="484"/>
        <v>0</v>
      </c>
      <c r="CN145" s="61">
        <f t="shared" si="485"/>
        <v>0</v>
      </c>
      <c r="CO145" s="29"/>
      <c r="CP145" s="61">
        <f t="shared" si="486"/>
        <v>0</v>
      </c>
      <c r="CQ145" s="62">
        <f t="shared" si="487"/>
        <v>0</v>
      </c>
      <c r="CR145" s="63">
        <f t="shared" si="488"/>
        <v>0</v>
      </c>
      <c r="CS145" s="61">
        <f t="shared" si="489"/>
        <v>0</v>
      </c>
      <c r="CU145" s="60">
        <f t="shared" si="492"/>
        <v>0</v>
      </c>
      <c r="CV145" s="132">
        <f t="shared" si="493"/>
        <v>0</v>
      </c>
      <c r="CW145" s="132">
        <f t="shared" si="494"/>
        <v>0</v>
      </c>
      <c r="CX145" s="131">
        <f t="shared" si="495"/>
        <v>0</v>
      </c>
    </row>
    <row r="146" spans="1:102">
      <c r="A146" s="214">
        <v>957</v>
      </c>
      <c r="B146" s="214" t="s">
        <v>6</v>
      </c>
      <c r="C146" s="215" t="s">
        <v>177</v>
      </c>
      <c r="D146" s="216">
        <v>1</v>
      </c>
      <c r="E146" s="57">
        <f>VLOOKUP(A146,AuxOPEXSaneparOriginal!$B$4:$F$177,3,0)</f>
        <v>0</v>
      </c>
      <c r="F146" s="156">
        <f>VLOOKUP(A146,AuxOPEXSaneparOriginal!$B$4:$F$177,4,0)</f>
        <v>0</v>
      </c>
      <c r="G146" s="57">
        <f>VLOOKUP(A146,AuxOPEXSaneparOriginal!$B$4:$K$177,8,0)</f>
        <v>0</v>
      </c>
      <c r="H146" s="156">
        <f>VLOOKUP(A146,AuxOPEXSaneparOriginal!$B$4:$K$177,9,0)</f>
        <v>0</v>
      </c>
      <c r="I146" s="57">
        <f>VLOOKUP(A146,AuxOPEXSaneparOriginal!$B$4:$N$177,13,0)</f>
        <v>0</v>
      </c>
      <c r="J146" s="57">
        <f>VLOOKUP(A146,AuxOPEXSaneparOriginal!$B$4:$Q$177,16,0)</f>
        <v>0</v>
      </c>
      <c r="K146" s="57">
        <f>VLOOKUP(A146,AuxOPEXSaneparOriginal!$B$4:$V$177,21,0)</f>
        <v>0</v>
      </c>
      <c r="L146" s="157">
        <f t="shared" si="442"/>
        <v>0</v>
      </c>
      <c r="M146" s="19">
        <f>VLOOKUP(A146,AuxOPEXSaneparOriginal!$B$4:$AB$177,27,0)</f>
        <v>0</v>
      </c>
      <c r="N146" s="156">
        <f>VLOOKUP(A146,AuxOPEXSaneparOriginal!$B$4:$AC$177,28,0)</f>
        <v>0</v>
      </c>
      <c r="O146" s="156">
        <f>VLOOKUP(A146,AuxOPEXSaneparOriginal!$B$4:$AD$177,29,0)</f>
        <v>0</v>
      </c>
      <c r="P146" s="156">
        <f>VLOOKUP(A146,AuxOPEXSaneparOriginal!$B$4:$AE$177,30,0)</f>
        <v>0</v>
      </c>
      <c r="Q146" s="146">
        <f>VLOOKUP(A146,AuxOPEXSaneparOriginal!$B$4:$AF$177,31,0)</f>
        <v>0</v>
      </c>
      <c r="R146" s="146">
        <f>VLOOKUP(A146,AuxOPEXSaneparOriginal!$B$4:$AG$177,32,0)</f>
        <v>0</v>
      </c>
      <c r="S146" s="146">
        <f>VLOOKUP(A146,AuxOPEXSaneparOriginal!$B$4:$AH$177,33,0)</f>
        <v>0</v>
      </c>
      <c r="T146" s="157">
        <f t="shared" si="443"/>
        <v>0</v>
      </c>
      <c r="U146" s="156">
        <f>VLOOKUP(A146,AuxOPEXSaneparOriginal!$B$4:$AI$177,34,0)</f>
        <v>0</v>
      </c>
      <c r="V146" s="156">
        <f>VLOOKUP(A146,AuxOPEXSaneparOriginal!$B$4:$AJ$177,35,0)</f>
        <v>0</v>
      </c>
      <c r="W146" s="156">
        <f>VLOOKUP(A146,AuxOPEXSaneparOriginal!$B$4:$AK$177,36,0)</f>
        <v>0</v>
      </c>
      <c r="X146" s="19">
        <f>+VLOOKUP(A146,AuxOPEXSaneparOriginal!$B$4:$AL$177,37,0)</f>
        <v>0</v>
      </c>
      <c r="Y146" s="146">
        <f>VLOOKUP(A146,AuxOPEXSaneparOriginal!$B$4:$AM$177,38,0)</f>
        <v>0</v>
      </c>
      <c r="Z146" s="146">
        <f>VLOOKUP(A146,AuxOPEXSaneparOriginal!$B$4:$AN$177,39,0)</f>
        <v>0</v>
      </c>
      <c r="AA146" s="146">
        <f>VLOOKUP(A146,AuxOPEXSaneparOriginal!$B$4:$AO$177,40,0)</f>
        <v>19153848.039999999</v>
      </c>
      <c r="AB146" s="157">
        <f t="shared" si="444"/>
        <v>19153848.039999999</v>
      </c>
      <c r="AC146" s="156">
        <f>VLOOKUP(A146,AuxOPEXSaneparOriginal!$B$4:$AP$177,41,0)</f>
        <v>0</v>
      </c>
      <c r="AD146" s="156">
        <f>+VLOOKUP(A146,AuxOPEXSaneparOriginal!$B$4:$AQ$177,42,0)</f>
        <v>0</v>
      </c>
      <c r="AE146" s="156">
        <f>VLOOKUP(A146,AuxOPEXSaneparOriginal!$B$4:$AR$177,43,0)</f>
        <v>0</v>
      </c>
      <c r="AF146" s="156">
        <f>+VLOOKUP(A146,AuxOPEXSaneparOriginal!$B$4:$AS$177,44,0)</f>
        <v>0</v>
      </c>
      <c r="AG146" s="146">
        <f>VLOOKUP(A146,AuxOPEXSaneparOriginal!$B$4:$AT$177,45,0)</f>
        <v>0</v>
      </c>
      <c r="AH146" s="146">
        <f>VLOOKUP(A146,AuxOPEXSaneparOriginal!$B$4:$AU$177,46,0)</f>
        <v>0</v>
      </c>
      <c r="AI146" s="146">
        <f>VLOOKUP(A146,AuxOPEXSaneparOriginal!$B$4:$AV$177,47,0)</f>
        <v>-3048431.79</v>
      </c>
      <c r="AJ146" s="157">
        <f t="shared" si="445"/>
        <v>-3048431.79</v>
      </c>
      <c r="AK146" s="157">
        <f t="shared" si="490"/>
        <v>4026354.0625</v>
      </c>
      <c r="AL146" s="157">
        <f t="shared" si="491"/>
        <v>8052708.125</v>
      </c>
      <c r="AM146" s="144"/>
      <c r="AN146" s="167">
        <f t="shared" si="496"/>
        <v>0</v>
      </c>
      <c r="AO146" s="168">
        <f t="shared" si="497"/>
        <v>0</v>
      </c>
      <c r="AP146" s="57">
        <f t="shared" si="498"/>
        <v>0</v>
      </c>
      <c r="AQ146" s="57">
        <f t="shared" si="499"/>
        <v>0</v>
      </c>
      <c r="AR146" s="57">
        <f t="shared" si="500"/>
        <v>0</v>
      </c>
      <c r="AS146" s="57">
        <f t="shared" si="501"/>
        <v>0</v>
      </c>
      <c r="AT146" s="57">
        <f t="shared" si="502"/>
        <v>0</v>
      </c>
      <c r="AU146" s="157">
        <f t="shared" si="446"/>
        <v>0</v>
      </c>
      <c r="AV146" s="57">
        <f t="shared" si="447"/>
        <v>0</v>
      </c>
      <c r="AW146" s="57">
        <f t="shared" si="448"/>
        <v>0</v>
      </c>
      <c r="AX146" s="57">
        <f t="shared" si="449"/>
        <v>0</v>
      </c>
      <c r="AY146" s="57">
        <f t="shared" si="450"/>
        <v>0</v>
      </c>
      <c r="AZ146" s="57">
        <f t="shared" si="451"/>
        <v>0</v>
      </c>
      <c r="BA146" s="57">
        <f t="shared" si="452"/>
        <v>0</v>
      </c>
      <c r="BB146" s="57">
        <f t="shared" si="453"/>
        <v>0</v>
      </c>
      <c r="BC146" s="157">
        <f t="shared" si="454"/>
        <v>0</v>
      </c>
      <c r="BD146" s="57">
        <f t="shared" si="455"/>
        <v>0</v>
      </c>
      <c r="BE146" s="57">
        <f t="shared" si="456"/>
        <v>0</v>
      </c>
      <c r="BF146" s="57">
        <f t="shared" si="457"/>
        <v>0</v>
      </c>
      <c r="BG146" s="57">
        <f t="shared" si="458"/>
        <v>0</v>
      </c>
      <c r="BH146" s="57">
        <f t="shared" si="459"/>
        <v>0</v>
      </c>
      <c r="BI146" s="57">
        <f t="shared" si="460"/>
        <v>0</v>
      </c>
      <c r="BJ146" s="57">
        <f t="shared" si="461"/>
        <v>0</v>
      </c>
      <c r="BK146" s="157">
        <f t="shared" si="462"/>
        <v>0</v>
      </c>
      <c r="BL146" s="57">
        <f t="shared" si="463"/>
        <v>0</v>
      </c>
      <c r="BM146" s="57">
        <f t="shared" si="464"/>
        <v>0</v>
      </c>
      <c r="BN146" s="57">
        <f t="shared" si="465"/>
        <v>0</v>
      </c>
      <c r="BO146" s="57">
        <f t="shared" si="466"/>
        <v>0</v>
      </c>
      <c r="BP146" s="57">
        <f t="shared" si="467"/>
        <v>0</v>
      </c>
      <c r="BQ146" s="57">
        <f t="shared" si="468"/>
        <v>0</v>
      </c>
      <c r="BR146" s="57">
        <f t="shared" si="469"/>
        <v>0</v>
      </c>
      <c r="BS146" s="157">
        <f t="shared" si="470"/>
        <v>0</v>
      </c>
      <c r="BT146" s="157">
        <f t="shared" si="344"/>
        <v>0</v>
      </c>
      <c r="BU146" s="157">
        <f t="shared" si="345"/>
        <v>0</v>
      </c>
      <c r="BV146" s="144"/>
      <c r="BW146" s="158">
        <f t="shared" si="471"/>
        <v>0</v>
      </c>
      <c r="BX146" s="159">
        <f t="shared" si="472"/>
        <v>0</v>
      </c>
      <c r="BY146" s="159">
        <f t="shared" si="473"/>
        <v>0</v>
      </c>
      <c r="BZ146" s="159">
        <f t="shared" si="474"/>
        <v>0</v>
      </c>
      <c r="CA146" s="158">
        <f t="shared" si="475"/>
        <v>0</v>
      </c>
      <c r="CB146" s="157">
        <f t="shared" si="476"/>
        <v>0</v>
      </c>
      <c r="CC146" s="144"/>
      <c r="CD146" s="158">
        <f t="shared" si="477"/>
        <v>0</v>
      </c>
      <c r="CE146" s="159">
        <f t="shared" si="478"/>
        <v>0</v>
      </c>
      <c r="CF146" s="159">
        <f t="shared" si="479"/>
        <v>0</v>
      </c>
      <c r="CG146" s="159">
        <f t="shared" si="503"/>
        <v>0</v>
      </c>
      <c r="CH146" s="158">
        <f t="shared" si="504"/>
        <v>0</v>
      </c>
      <c r="CI146" s="157">
        <f t="shared" si="481"/>
        <v>0</v>
      </c>
      <c r="CK146" s="61">
        <f t="shared" si="482"/>
        <v>0</v>
      </c>
      <c r="CL146" s="62">
        <f t="shared" si="483"/>
        <v>0</v>
      </c>
      <c r="CM146" s="63">
        <f t="shared" si="484"/>
        <v>0</v>
      </c>
      <c r="CN146" s="61">
        <f t="shared" si="485"/>
        <v>0</v>
      </c>
      <c r="CO146" s="29"/>
      <c r="CP146" s="61">
        <f t="shared" si="486"/>
        <v>0</v>
      </c>
      <c r="CQ146" s="62">
        <f t="shared" si="487"/>
        <v>0</v>
      </c>
      <c r="CR146" s="63">
        <f t="shared" si="488"/>
        <v>0</v>
      </c>
      <c r="CS146" s="61">
        <f t="shared" si="489"/>
        <v>0</v>
      </c>
      <c r="CU146" s="60">
        <f t="shared" si="492"/>
        <v>0</v>
      </c>
      <c r="CV146" s="132">
        <f t="shared" si="493"/>
        <v>0</v>
      </c>
      <c r="CW146" s="132">
        <f t="shared" si="494"/>
        <v>0</v>
      </c>
      <c r="CX146" s="131">
        <f t="shared" si="495"/>
        <v>0</v>
      </c>
    </row>
    <row r="147" spans="1:102">
      <c r="A147" s="214">
        <v>959</v>
      </c>
      <c r="B147" s="214" t="s">
        <v>6</v>
      </c>
      <c r="C147" s="215" t="s">
        <v>178</v>
      </c>
      <c r="D147" s="216">
        <v>1</v>
      </c>
      <c r="E147" s="57">
        <f>VLOOKUP(A147,AuxOPEXSaneparOriginal!$B$4:$F$177,3,0)</f>
        <v>0</v>
      </c>
      <c r="F147" s="156">
        <f>VLOOKUP(A147,AuxOPEXSaneparOriginal!$B$4:$F$177,4,0)</f>
        <v>0</v>
      </c>
      <c r="G147" s="57">
        <f>VLOOKUP(A147,AuxOPEXSaneparOriginal!$B$4:$K$177,8,0)</f>
        <v>0</v>
      </c>
      <c r="H147" s="156">
        <f>VLOOKUP(A147,AuxOPEXSaneparOriginal!$B$4:$K$177,9,0)</f>
        <v>0</v>
      </c>
      <c r="I147" s="57">
        <f>VLOOKUP(A147,AuxOPEXSaneparOriginal!$B$4:$N$177,13,0)</f>
        <v>0</v>
      </c>
      <c r="J147" s="57">
        <f>VLOOKUP(A147,AuxOPEXSaneparOriginal!$B$4:$Q$177,16,0)</f>
        <v>0</v>
      </c>
      <c r="K147" s="57">
        <f>VLOOKUP(A147,AuxOPEXSaneparOriginal!$B$4:$V$177,21,0)</f>
        <v>2044847.09</v>
      </c>
      <c r="L147" s="157">
        <f t="shared" si="442"/>
        <v>2044847.09</v>
      </c>
      <c r="M147" s="19">
        <f>VLOOKUP(A147,AuxOPEXSaneparOriginal!$B$4:$AB$177,27,0)</f>
        <v>0</v>
      </c>
      <c r="N147" s="156">
        <f>VLOOKUP(A147,AuxOPEXSaneparOriginal!$B$4:$AC$177,28,0)</f>
        <v>0</v>
      </c>
      <c r="O147" s="156">
        <f>VLOOKUP(A147,AuxOPEXSaneparOriginal!$B$4:$AD$177,29,0)</f>
        <v>0</v>
      </c>
      <c r="P147" s="156">
        <f>VLOOKUP(A147,AuxOPEXSaneparOriginal!$B$4:$AE$177,30,0)</f>
        <v>0</v>
      </c>
      <c r="Q147" s="146">
        <f>VLOOKUP(A147,AuxOPEXSaneparOriginal!$B$4:$AF$177,31,0)</f>
        <v>0</v>
      </c>
      <c r="R147" s="146">
        <f>VLOOKUP(A147,AuxOPEXSaneparOriginal!$B$4:$AG$177,32,0)</f>
        <v>0</v>
      </c>
      <c r="S147" s="146">
        <f>VLOOKUP(A147,AuxOPEXSaneparOriginal!$B$4:$AH$177,33,0)</f>
        <v>3829046.38</v>
      </c>
      <c r="T147" s="157">
        <f t="shared" si="443"/>
        <v>3829046.38</v>
      </c>
      <c r="U147" s="156">
        <f>VLOOKUP(A147,AuxOPEXSaneparOriginal!$B$4:$AI$177,34,0)</f>
        <v>0</v>
      </c>
      <c r="V147" s="156">
        <f>VLOOKUP(A147,AuxOPEXSaneparOriginal!$B$4:$AJ$177,35,0)</f>
        <v>0</v>
      </c>
      <c r="W147" s="156">
        <f>VLOOKUP(A147,AuxOPEXSaneparOriginal!$B$4:$AK$177,36,0)</f>
        <v>0</v>
      </c>
      <c r="X147" s="19">
        <f>+VLOOKUP(A147,AuxOPEXSaneparOriginal!$B$4:$AL$177,37,0)</f>
        <v>0</v>
      </c>
      <c r="Y147" s="146">
        <f>VLOOKUP(A147,AuxOPEXSaneparOriginal!$B$4:$AM$177,38,0)</f>
        <v>0</v>
      </c>
      <c r="Z147" s="146">
        <f>VLOOKUP(A147,AuxOPEXSaneparOriginal!$B$4:$AN$177,39,0)</f>
        <v>0</v>
      </c>
      <c r="AA147" s="146">
        <f>VLOOKUP(A147,AuxOPEXSaneparOriginal!$B$4:$AO$177,40,0)</f>
        <v>5657953.7199999997</v>
      </c>
      <c r="AB147" s="157">
        <f t="shared" si="444"/>
        <v>5657953.7199999997</v>
      </c>
      <c r="AC147" s="156">
        <f>VLOOKUP(A147,AuxOPEXSaneparOriginal!$B$4:$AP$177,41,0)</f>
        <v>0</v>
      </c>
      <c r="AD147" s="156">
        <f>+VLOOKUP(A147,AuxOPEXSaneparOriginal!$B$4:$AQ$177,42,0)</f>
        <v>0</v>
      </c>
      <c r="AE147" s="156">
        <f>VLOOKUP(A147,AuxOPEXSaneparOriginal!$B$4:$AR$177,43,0)</f>
        <v>0</v>
      </c>
      <c r="AF147" s="156">
        <f>+VLOOKUP(A147,AuxOPEXSaneparOriginal!$B$4:$AS$177,44,0)</f>
        <v>0</v>
      </c>
      <c r="AG147" s="146">
        <f>VLOOKUP(A147,AuxOPEXSaneparOriginal!$B$4:$AT$177,45,0)</f>
        <v>0</v>
      </c>
      <c r="AH147" s="146">
        <f>VLOOKUP(A147,AuxOPEXSaneparOriginal!$B$4:$AU$177,46,0)</f>
        <v>0</v>
      </c>
      <c r="AI147" s="146">
        <f>VLOOKUP(A147,AuxOPEXSaneparOriginal!$B$4:$AV$177,47,0)</f>
        <v>3378424.31</v>
      </c>
      <c r="AJ147" s="157">
        <f t="shared" si="445"/>
        <v>3378424.31</v>
      </c>
      <c r="AK147" s="157">
        <f t="shared" si="490"/>
        <v>3727567.875</v>
      </c>
      <c r="AL147" s="157">
        <f t="shared" si="491"/>
        <v>4518189.0149999997</v>
      </c>
      <c r="AM147" s="144"/>
      <c r="AN147" s="167">
        <f t="shared" si="496"/>
        <v>0</v>
      </c>
      <c r="AO147" s="168">
        <f t="shared" si="497"/>
        <v>0</v>
      </c>
      <c r="AP147" s="57">
        <f t="shared" si="498"/>
        <v>0</v>
      </c>
      <c r="AQ147" s="57">
        <f t="shared" si="499"/>
        <v>0</v>
      </c>
      <c r="AR147" s="57">
        <f t="shared" si="500"/>
        <v>0</v>
      </c>
      <c r="AS147" s="57">
        <f t="shared" si="501"/>
        <v>0</v>
      </c>
      <c r="AT147" s="57">
        <f t="shared" si="502"/>
        <v>0</v>
      </c>
      <c r="AU147" s="157">
        <f t="shared" si="446"/>
        <v>0</v>
      </c>
      <c r="AV147" s="57">
        <f t="shared" si="447"/>
        <v>0</v>
      </c>
      <c r="AW147" s="57">
        <f t="shared" si="448"/>
        <v>0</v>
      </c>
      <c r="AX147" s="57">
        <f t="shared" si="449"/>
        <v>0</v>
      </c>
      <c r="AY147" s="57">
        <f t="shared" si="450"/>
        <v>0</v>
      </c>
      <c r="AZ147" s="57">
        <f t="shared" si="451"/>
        <v>0</v>
      </c>
      <c r="BA147" s="57">
        <f t="shared" si="452"/>
        <v>0</v>
      </c>
      <c r="BB147" s="57">
        <f t="shared" si="453"/>
        <v>0</v>
      </c>
      <c r="BC147" s="157">
        <f t="shared" si="454"/>
        <v>0</v>
      </c>
      <c r="BD147" s="57">
        <f t="shared" si="455"/>
        <v>0</v>
      </c>
      <c r="BE147" s="57">
        <f t="shared" si="456"/>
        <v>0</v>
      </c>
      <c r="BF147" s="57">
        <f t="shared" si="457"/>
        <v>0</v>
      </c>
      <c r="BG147" s="57">
        <f t="shared" si="458"/>
        <v>0</v>
      </c>
      <c r="BH147" s="57">
        <f t="shared" si="459"/>
        <v>0</v>
      </c>
      <c r="BI147" s="57">
        <f t="shared" si="460"/>
        <v>0</v>
      </c>
      <c r="BJ147" s="57">
        <f t="shared" si="461"/>
        <v>0</v>
      </c>
      <c r="BK147" s="157">
        <f t="shared" si="462"/>
        <v>0</v>
      </c>
      <c r="BL147" s="57">
        <f t="shared" si="463"/>
        <v>0</v>
      </c>
      <c r="BM147" s="57">
        <f t="shared" si="464"/>
        <v>0</v>
      </c>
      <c r="BN147" s="57">
        <f t="shared" si="465"/>
        <v>0</v>
      </c>
      <c r="BO147" s="57">
        <f t="shared" si="466"/>
        <v>0</v>
      </c>
      <c r="BP147" s="57">
        <f t="shared" si="467"/>
        <v>0</v>
      </c>
      <c r="BQ147" s="57">
        <f t="shared" si="468"/>
        <v>0</v>
      </c>
      <c r="BR147" s="57">
        <f t="shared" si="469"/>
        <v>0</v>
      </c>
      <c r="BS147" s="157">
        <f t="shared" si="470"/>
        <v>0</v>
      </c>
      <c r="BT147" s="157">
        <f t="shared" si="344"/>
        <v>0</v>
      </c>
      <c r="BU147" s="157">
        <f t="shared" si="345"/>
        <v>0</v>
      </c>
      <c r="BV147" s="144"/>
      <c r="BW147" s="158">
        <f t="shared" si="471"/>
        <v>0</v>
      </c>
      <c r="BX147" s="159">
        <f t="shared" si="472"/>
        <v>0</v>
      </c>
      <c r="BY147" s="159">
        <f t="shared" si="473"/>
        <v>0</v>
      </c>
      <c r="BZ147" s="159">
        <f t="shared" si="474"/>
        <v>0</v>
      </c>
      <c r="CA147" s="158">
        <f t="shared" si="475"/>
        <v>0</v>
      </c>
      <c r="CB147" s="157">
        <f t="shared" si="476"/>
        <v>0</v>
      </c>
      <c r="CC147" s="144"/>
      <c r="CD147" s="158">
        <f t="shared" si="477"/>
        <v>0</v>
      </c>
      <c r="CE147" s="159">
        <f t="shared" si="478"/>
        <v>0</v>
      </c>
      <c r="CF147" s="159">
        <f t="shared" si="479"/>
        <v>0</v>
      </c>
      <c r="CG147" s="159">
        <f t="shared" si="503"/>
        <v>0</v>
      </c>
      <c r="CH147" s="158">
        <f t="shared" si="504"/>
        <v>0</v>
      </c>
      <c r="CI147" s="157">
        <f t="shared" si="481"/>
        <v>0</v>
      </c>
      <c r="CK147" s="61">
        <f t="shared" si="482"/>
        <v>0</v>
      </c>
      <c r="CL147" s="62">
        <f t="shared" si="483"/>
        <v>0</v>
      </c>
      <c r="CM147" s="63">
        <f t="shared" si="484"/>
        <v>0</v>
      </c>
      <c r="CN147" s="61">
        <f t="shared" si="485"/>
        <v>0</v>
      </c>
      <c r="CO147" s="29"/>
      <c r="CP147" s="61">
        <f t="shared" si="486"/>
        <v>0</v>
      </c>
      <c r="CQ147" s="62">
        <f t="shared" si="487"/>
        <v>0</v>
      </c>
      <c r="CR147" s="63">
        <f t="shared" si="488"/>
        <v>0</v>
      </c>
      <c r="CS147" s="61">
        <f t="shared" si="489"/>
        <v>0</v>
      </c>
      <c r="CU147" s="60">
        <f t="shared" si="492"/>
        <v>0</v>
      </c>
      <c r="CV147" s="132">
        <f t="shared" si="493"/>
        <v>0</v>
      </c>
      <c r="CW147" s="132">
        <f t="shared" si="494"/>
        <v>0</v>
      </c>
      <c r="CX147" s="131">
        <f t="shared" si="495"/>
        <v>0</v>
      </c>
    </row>
    <row r="148" spans="1:102">
      <c r="A148" s="252" t="s">
        <v>179</v>
      </c>
      <c r="B148" s="252" t="s">
        <v>6</v>
      </c>
      <c r="C148" s="253" t="s">
        <v>180</v>
      </c>
      <c r="D148" s="56">
        <v>0</v>
      </c>
      <c r="E148" s="57">
        <f>VLOOKUP(A148,AuxOPEXSaneparOriginal!$B$4:$F$177,3,0)</f>
        <v>0</v>
      </c>
      <c r="F148" s="156">
        <f>VLOOKUP(A148,AuxOPEXSaneparOriginal!$B$4:$F$177,4,0)</f>
        <v>0</v>
      </c>
      <c r="G148" s="57">
        <f>VLOOKUP(A148,AuxOPEXSaneparOriginal!$B$4:$K$177,8,0)</f>
        <v>0</v>
      </c>
      <c r="H148" s="156">
        <f>VLOOKUP(A148,AuxOPEXSaneparOriginal!$B$4:$K$177,9,0)</f>
        <v>0</v>
      </c>
      <c r="I148" s="57">
        <f>VLOOKUP(A148,AuxOPEXSaneparOriginal!$B$4:$N$177,13,0)</f>
        <v>0</v>
      </c>
      <c r="J148" s="57">
        <f>VLOOKUP(A148,AuxOPEXSaneparOriginal!$B$4:$Q$177,16,0)</f>
        <v>-133240393.98999995</v>
      </c>
      <c r="K148" s="57">
        <f>VLOOKUP(A148,AuxOPEXSaneparOriginal!$B$4:$V$177,21,0)</f>
        <v>0</v>
      </c>
      <c r="L148" s="157">
        <f t="shared" si="442"/>
        <v>-133240393.98999995</v>
      </c>
      <c r="M148" s="19">
        <f>VLOOKUP(A148,AuxOPEXSaneparOriginal!$B$4:$AB$177,27,0)</f>
        <v>0</v>
      </c>
      <c r="N148" s="156">
        <f>VLOOKUP(A148,AuxOPEXSaneparOriginal!$B$4:$AC$177,28,0)</f>
        <v>0</v>
      </c>
      <c r="O148" s="156">
        <f>VLOOKUP(A148,AuxOPEXSaneparOriginal!$B$4:$AD$177,29,0)</f>
        <v>0</v>
      </c>
      <c r="P148" s="156">
        <f>VLOOKUP(A148,AuxOPEXSaneparOriginal!$B$4:$AE$177,30,0)</f>
        <v>0</v>
      </c>
      <c r="Q148" s="146">
        <f>VLOOKUP(A148,AuxOPEXSaneparOriginal!$B$4:$AF$177,31,0)</f>
        <v>0</v>
      </c>
      <c r="R148" s="146">
        <f>VLOOKUP(A148,AuxOPEXSaneparOriginal!$B$4:$AG$177,32,0)</f>
        <v>-143656436.34000006</v>
      </c>
      <c r="S148" s="146">
        <f>VLOOKUP(A148,AuxOPEXSaneparOriginal!$B$4:$AH$177,33,0)</f>
        <v>0</v>
      </c>
      <c r="T148" s="157">
        <f t="shared" si="443"/>
        <v>-143656436.34000006</v>
      </c>
      <c r="U148" s="156">
        <f>VLOOKUP(A148,AuxOPEXSaneparOriginal!$B$4:$AI$177,34,0)</f>
        <v>0</v>
      </c>
      <c r="V148" s="156">
        <f>VLOOKUP(A148,AuxOPEXSaneparOriginal!$B$4:$AJ$177,35,0)</f>
        <v>0</v>
      </c>
      <c r="W148" s="156">
        <f>VLOOKUP(A148,AuxOPEXSaneparOriginal!$B$4:$AK$177,36,0)</f>
        <v>0</v>
      </c>
      <c r="X148" s="19">
        <f>+VLOOKUP(A148,AuxOPEXSaneparOriginal!$B$4:$AL$177,37,0)</f>
        <v>0</v>
      </c>
      <c r="Y148" s="146">
        <f>VLOOKUP(A148,AuxOPEXSaneparOriginal!$B$4:$AM$177,38,0)</f>
        <v>0</v>
      </c>
      <c r="Z148" s="146">
        <f>VLOOKUP(A148,AuxOPEXSaneparOriginal!$B$4:$AN$177,39,0)</f>
        <v>-158255151.29000005</v>
      </c>
      <c r="AA148" s="146">
        <f>VLOOKUP(A148,AuxOPEXSaneparOriginal!$B$4:$AO$177,40,0)</f>
        <v>0</v>
      </c>
      <c r="AB148" s="157">
        <f t="shared" si="444"/>
        <v>-158255151.29000005</v>
      </c>
      <c r="AC148" s="156">
        <f>VLOOKUP(A148,AuxOPEXSaneparOriginal!$B$4:$AP$177,41,0)</f>
        <v>0</v>
      </c>
      <c r="AD148" s="156">
        <f>+VLOOKUP(A148,AuxOPEXSaneparOriginal!$B$4:$AQ$177,42,0)</f>
        <v>0</v>
      </c>
      <c r="AE148" s="156">
        <f>VLOOKUP(A148,AuxOPEXSaneparOriginal!$B$4:$AR$177,43,0)</f>
        <v>0</v>
      </c>
      <c r="AF148" s="156">
        <f>+VLOOKUP(A148,AuxOPEXSaneparOriginal!$B$4:$AS$177,44,0)</f>
        <v>0</v>
      </c>
      <c r="AG148" s="146">
        <f>VLOOKUP(A148,AuxOPEXSaneparOriginal!$B$4:$AT$177,45,0)</f>
        <v>0</v>
      </c>
      <c r="AH148" s="146">
        <f>VLOOKUP(A148,AuxOPEXSaneparOriginal!$B$4:$AU$177,46,0)</f>
        <v>-124782373.61000004</v>
      </c>
      <c r="AI148" s="146">
        <f>VLOOKUP(A148,AuxOPEXSaneparOriginal!$B$4:$AV$177,47,0)</f>
        <v>0</v>
      </c>
      <c r="AJ148" s="157">
        <f t="shared" si="445"/>
        <v>-124782373.61000004</v>
      </c>
      <c r="AK148" s="157">
        <f t="shared" si="490"/>
        <v>-139983588.8075</v>
      </c>
      <c r="AL148" s="157">
        <f t="shared" si="491"/>
        <v>-141518762.45000005</v>
      </c>
      <c r="AM148" s="144"/>
      <c r="AN148" s="167">
        <f t="shared" si="496"/>
        <v>0</v>
      </c>
      <c r="AO148" s="168">
        <f t="shared" si="497"/>
        <v>0</v>
      </c>
      <c r="AP148" s="57">
        <f t="shared" si="498"/>
        <v>0</v>
      </c>
      <c r="AQ148" s="57">
        <f t="shared" si="499"/>
        <v>0</v>
      </c>
      <c r="AR148" s="57">
        <f t="shared" si="500"/>
        <v>0</v>
      </c>
      <c r="AS148" s="57">
        <f t="shared" si="501"/>
        <v>-133240393.98999995</v>
      </c>
      <c r="AT148" s="57">
        <f t="shared" si="502"/>
        <v>0</v>
      </c>
      <c r="AU148" s="157">
        <f t="shared" si="446"/>
        <v>-133240393.98999995</v>
      </c>
      <c r="AV148" s="57">
        <f t="shared" si="447"/>
        <v>0</v>
      </c>
      <c r="AW148" s="57">
        <f t="shared" si="448"/>
        <v>0</v>
      </c>
      <c r="AX148" s="57">
        <f t="shared" si="449"/>
        <v>0</v>
      </c>
      <c r="AY148" s="57">
        <f t="shared" si="450"/>
        <v>0</v>
      </c>
      <c r="AZ148" s="57">
        <f t="shared" si="451"/>
        <v>0</v>
      </c>
      <c r="BA148" s="57">
        <f t="shared" si="452"/>
        <v>-143656436.34000006</v>
      </c>
      <c r="BB148" s="57">
        <f t="shared" si="453"/>
        <v>0</v>
      </c>
      <c r="BC148" s="157">
        <f t="shared" si="454"/>
        <v>-143656436.34000006</v>
      </c>
      <c r="BD148" s="57">
        <f t="shared" si="455"/>
        <v>0</v>
      </c>
      <c r="BE148" s="57">
        <f t="shared" si="456"/>
        <v>0</v>
      </c>
      <c r="BF148" s="57">
        <f t="shared" si="457"/>
        <v>0</v>
      </c>
      <c r="BG148" s="57">
        <f t="shared" si="458"/>
        <v>0</v>
      </c>
      <c r="BH148" s="57">
        <f t="shared" si="459"/>
        <v>0</v>
      </c>
      <c r="BI148" s="57">
        <f t="shared" si="460"/>
        <v>-158255151.29000005</v>
      </c>
      <c r="BJ148" s="57">
        <f t="shared" si="461"/>
        <v>0</v>
      </c>
      <c r="BK148" s="157">
        <f t="shared" si="462"/>
        <v>-158255151.29000005</v>
      </c>
      <c r="BL148" s="57">
        <f t="shared" si="463"/>
        <v>0</v>
      </c>
      <c r="BM148" s="57">
        <f t="shared" si="464"/>
        <v>0</v>
      </c>
      <c r="BN148" s="57">
        <f t="shared" si="465"/>
        <v>0</v>
      </c>
      <c r="BO148" s="57">
        <f t="shared" si="466"/>
        <v>0</v>
      </c>
      <c r="BP148" s="57">
        <f t="shared" si="467"/>
        <v>0</v>
      </c>
      <c r="BQ148" s="57">
        <f t="shared" si="468"/>
        <v>-124782373.61000004</v>
      </c>
      <c r="BR148" s="57">
        <f t="shared" si="469"/>
        <v>0</v>
      </c>
      <c r="BS148" s="157">
        <f t="shared" si="470"/>
        <v>-124782373.61000004</v>
      </c>
      <c r="BT148" s="157">
        <f t="shared" si="344"/>
        <v>-139983588.8075</v>
      </c>
      <c r="BU148" s="157">
        <f t="shared" si="345"/>
        <v>-141518762.45000005</v>
      </c>
      <c r="BV148" s="144"/>
      <c r="BW148" s="158">
        <f t="shared" si="471"/>
        <v>-133240393.98999995</v>
      </c>
      <c r="BX148" s="159">
        <f t="shared" si="472"/>
        <v>-143656436.34000006</v>
      </c>
      <c r="BY148" s="159">
        <f t="shared" si="473"/>
        <v>-158255151.29000005</v>
      </c>
      <c r="BZ148" s="159">
        <f t="shared" si="474"/>
        <v>-124782373.61000004</v>
      </c>
      <c r="CA148" s="158">
        <f t="shared" si="475"/>
        <v>-139983588.80750003</v>
      </c>
      <c r="CB148" s="157">
        <f t="shared" si="476"/>
        <v>-138448415.16500002</v>
      </c>
      <c r="CC148" s="144"/>
      <c r="CD148" s="158">
        <f t="shared" si="477"/>
        <v>-151359475.36387265</v>
      </c>
      <c r="CE148" s="159">
        <f t="shared" si="478"/>
        <v>-156846151.48305175</v>
      </c>
      <c r="CF148" s="159">
        <f t="shared" si="479"/>
        <v>-167306222.33221391</v>
      </c>
      <c r="CG148" s="159">
        <f t="shared" si="503"/>
        <v>-124782373.61000004</v>
      </c>
      <c r="CH148" s="158">
        <f t="shared" si="504"/>
        <v>-150073555.69728458</v>
      </c>
      <c r="CI148" s="157">
        <f t="shared" si="481"/>
        <v>-154102813.42346221</v>
      </c>
      <c r="CK148" s="61">
        <f t="shared" si="482"/>
        <v>3.6249307193943148E-2</v>
      </c>
      <c r="CL148" s="62">
        <f t="shared" si="483"/>
        <v>6.6690006418757664E-2</v>
      </c>
      <c r="CM148" s="63">
        <f t="shared" si="484"/>
        <v>-0.25416776572586641</v>
      </c>
      <c r="CN148" s="61">
        <f t="shared" si="485"/>
        <v>-0.1755892829965251</v>
      </c>
      <c r="CO148" s="29"/>
      <c r="CP148" s="61">
        <f t="shared" si="486"/>
        <v>-6.3762420840517323E-2</v>
      </c>
      <c r="CQ148" s="62">
        <f t="shared" si="487"/>
        <v>-6.7535636215162773E-2</v>
      </c>
      <c r="CR148" s="63">
        <f t="shared" si="488"/>
        <v>-6.9477800043650617E-2</v>
      </c>
      <c r="CS148" s="61">
        <f t="shared" si="489"/>
        <v>-5.1557991011448437E-2</v>
      </c>
      <c r="CU148" s="60">
        <f t="shared" si="492"/>
        <v>100</v>
      </c>
      <c r="CV148" s="132">
        <f t="shared" si="493"/>
        <v>103.62493071939431</v>
      </c>
      <c r="CW148" s="132">
        <f t="shared" si="494"/>
        <v>110.53567801421404</v>
      </c>
      <c r="CX148" s="131">
        <f t="shared" si="495"/>
        <v>82.441071700347493</v>
      </c>
    </row>
    <row r="149" spans="1:102">
      <c r="A149" s="214">
        <v>406</v>
      </c>
      <c r="B149" s="214" t="s">
        <v>6</v>
      </c>
      <c r="C149" s="215" t="s">
        <v>181</v>
      </c>
      <c r="D149" s="216">
        <v>1</v>
      </c>
      <c r="E149" s="57">
        <f>VLOOKUP(A149,AuxOPEXSaneparOriginal!$B$4:$F$177,3,0)</f>
        <v>632661.85</v>
      </c>
      <c r="F149" s="156">
        <f>VLOOKUP(A149,AuxOPEXSaneparOriginal!$B$4:$F$177,4,0)</f>
        <v>2816717.32</v>
      </c>
      <c r="G149" s="57">
        <f>VLOOKUP(A149,AuxOPEXSaneparOriginal!$B$4:$K$177,8,0)</f>
        <v>973567.2</v>
      </c>
      <c r="H149" s="156">
        <f>VLOOKUP(A149,AuxOPEXSaneparOriginal!$B$4:$K$177,9,0)</f>
        <v>1672670.8</v>
      </c>
      <c r="I149" s="57">
        <f>VLOOKUP(A149,AuxOPEXSaneparOriginal!$B$4:$N$177,13,0)</f>
        <v>15856121.760000002</v>
      </c>
      <c r="J149" s="57">
        <f>VLOOKUP(A149,AuxOPEXSaneparOriginal!$B$4:$Q$177,16,0)</f>
        <v>719255.14</v>
      </c>
      <c r="K149" s="57">
        <f>VLOOKUP(A149,AuxOPEXSaneparOriginal!$B$4:$V$177,21,0)</f>
        <v>0</v>
      </c>
      <c r="L149" s="157">
        <f t="shared" ref="L149:L165" si="505">SUM(E149:K149)</f>
        <v>22670994.07</v>
      </c>
      <c r="M149" s="19">
        <f>VLOOKUP(A149,AuxOPEXSaneparOriginal!$B$4:$AB$177,27,0)</f>
        <v>1661272.61</v>
      </c>
      <c r="N149" s="156">
        <f>VLOOKUP(A149,AuxOPEXSaneparOriginal!$B$4:$AC$177,28,0)</f>
        <v>15409146.659999996</v>
      </c>
      <c r="O149" s="156">
        <f>VLOOKUP(A149,AuxOPEXSaneparOriginal!$B$4:$AD$177,29,0)</f>
        <v>13772103.990000004</v>
      </c>
      <c r="P149" s="156">
        <f>VLOOKUP(A149,AuxOPEXSaneparOriginal!$B$4:$AE$177,30,0)</f>
        <v>166635.62</v>
      </c>
      <c r="Q149" s="146">
        <f>VLOOKUP(A149,AuxOPEXSaneparOriginal!$B$4:$AF$177,31,0)</f>
        <v>6145471.8200000012</v>
      </c>
      <c r="R149" s="146">
        <f>VLOOKUP(A149,AuxOPEXSaneparOriginal!$B$4:$AG$177,32,0)</f>
        <v>7495628.0800000001</v>
      </c>
      <c r="S149" s="146">
        <f>VLOOKUP(A149,AuxOPEXSaneparOriginal!$B$4:$AH$177,33,0)</f>
        <v>0</v>
      </c>
      <c r="T149" s="157">
        <f t="shared" ref="T149:T165" si="506">SUM(M149:S149)</f>
        <v>44650258.780000001</v>
      </c>
      <c r="U149" s="156">
        <f>VLOOKUP(A149,AuxOPEXSaneparOriginal!$B$4:$AI$177,34,0)</f>
        <v>2037930.2799999996</v>
      </c>
      <c r="V149" s="156">
        <f>VLOOKUP(A149,AuxOPEXSaneparOriginal!$B$4:$AJ$177,35,0)</f>
        <v>3251625.1100000003</v>
      </c>
      <c r="W149" s="156">
        <f>VLOOKUP(A149,AuxOPEXSaneparOriginal!$B$4:$AK$177,36,0)</f>
        <v>2362094.11</v>
      </c>
      <c r="X149" s="19">
        <f>+VLOOKUP(A149,AuxOPEXSaneparOriginal!$B$4:$AL$177,37,0)</f>
        <v>2868533.9899999998</v>
      </c>
      <c r="Y149" s="146">
        <f>VLOOKUP(A149,AuxOPEXSaneparOriginal!$B$4:$AM$177,38,0)</f>
        <v>3370509.85</v>
      </c>
      <c r="Z149" s="146">
        <f>VLOOKUP(A149,AuxOPEXSaneparOriginal!$B$4:$AN$177,39,0)</f>
        <v>1407254.13</v>
      </c>
      <c r="AA149" s="146">
        <f>VLOOKUP(A149,AuxOPEXSaneparOriginal!$B$4:$AO$177,40,0)</f>
        <v>0</v>
      </c>
      <c r="AB149" s="157">
        <f t="shared" ref="AB149:AB165" si="507">SUM(U149:AA149)</f>
        <v>15297947.469999999</v>
      </c>
      <c r="AC149" s="156">
        <f>VLOOKUP(A149,AuxOPEXSaneparOriginal!$B$4:$AP$177,41,0)</f>
        <v>2574907.02</v>
      </c>
      <c r="AD149" s="156">
        <f>+VLOOKUP(A149,AuxOPEXSaneparOriginal!$B$4:$AQ$177,42,0)</f>
        <v>3106029.9800000009</v>
      </c>
      <c r="AE149" s="156">
        <f>VLOOKUP(A149,AuxOPEXSaneparOriginal!$B$4:$AR$177,43,0)</f>
        <v>3898439.41</v>
      </c>
      <c r="AF149" s="156">
        <f>+VLOOKUP(A149,AuxOPEXSaneparOriginal!$B$4:$AS$177,44,0)</f>
        <v>40062.74</v>
      </c>
      <c r="AG149" s="146">
        <f>VLOOKUP(A149,AuxOPEXSaneparOriginal!$B$4:$AT$177,45,0)</f>
        <v>1737346.3199999996</v>
      </c>
      <c r="AH149" s="146">
        <f>VLOOKUP(A149,AuxOPEXSaneparOriginal!$B$4:$AU$177,46,0)</f>
        <v>1771747.0199999996</v>
      </c>
      <c r="AI149" s="146">
        <f>VLOOKUP(A149,AuxOPEXSaneparOriginal!$B$4:$AV$177,47,0)</f>
        <v>0</v>
      </c>
      <c r="AJ149" s="157">
        <f t="shared" ref="AJ149:AJ165" si="508">SUM(AC149:AI149)</f>
        <v>13128532.49</v>
      </c>
      <c r="AK149" s="157">
        <f t="shared" si="490"/>
        <v>23936933.202500001</v>
      </c>
      <c r="AL149" s="157">
        <f t="shared" si="491"/>
        <v>14213239.98</v>
      </c>
      <c r="AM149" s="144"/>
      <c r="AN149" s="167">
        <f t="shared" si="496"/>
        <v>0</v>
      </c>
      <c r="AO149" s="168">
        <f t="shared" si="497"/>
        <v>0</v>
      </c>
      <c r="AP149" s="57">
        <f t="shared" si="498"/>
        <v>0</v>
      </c>
      <c r="AQ149" s="57">
        <f t="shared" si="499"/>
        <v>0</v>
      </c>
      <c r="AR149" s="57">
        <f t="shared" si="500"/>
        <v>0</v>
      </c>
      <c r="AS149" s="57">
        <f t="shared" si="501"/>
        <v>0</v>
      </c>
      <c r="AT149" s="57">
        <f t="shared" si="502"/>
        <v>0</v>
      </c>
      <c r="AU149" s="157">
        <f t="shared" si="446"/>
        <v>0</v>
      </c>
      <c r="AV149" s="57">
        <f t="shared" si="447"/>
        <v>0</v>
      </c>
      <c r="AW149" s="57">
        <f t="shared" si="448"/>
        <v>0</v>
      </c>
      <c r="AX149" s="57">
        <f t="shared" si="449"/>
        <v>0</v>
      </c>
      <c r="AY149" s="57">
        <f t="shared" si="450"/>
        <v>0</v>
      </c>
      <c r="AZ149" s="57">
        <f t="shared" si="451"/>
        <v>0</v>
      </c>
      <c r="BA149" s="57">
        <f t="shared" si="452"/>
        <v>0</v>
      </c>
      <c r="BB149" s="57">
        <f t="shared" si="453"/>
        <v>0</v>
      </c>
      <c r="BC149" s="157">
        <f t="shared" si="454"/>
        <v>0</v>
      </c>
      <c r="BD149" s="57">
        <f t="shared" si="455"/>
        <v>0</v>
      </c>
      <c r="BE149" s="57">
        <f t="shared" si="456"/>
        <v>0</v>
      </c>
      <c r="BF149" s="57">
        <f t="shared" si="457"/>
        <v>0</v>
      </c>
      <c r="BG149" s="57">
        <f t="shared" si="458"/>
        <v>0</v>
      </c>
      <c r="BH149" s="57">
        <f t="shared" si="459"/>
        <v>0</v>
      </c>
      <c r="BI149" s="57">
        <f t="shared" si="460"/>
        <v>0</v>
      </c>
      <c r="BJ149" s="57">
        <f t="shared" si="461"/>
        <v>0</v>
      </c>
      <c r="BK149" s="157">
        <f t="shared" si="462"/>
        <v>0</v>
      </c>
      <c r="BL149" s="57">
        <f t="shared" si="463"/>
        <v>0</v>
      </c>
      <c r="BM149" s="57">
        <f t="shared" si="464"/>
        <v>0</v>
      </c>
      <c r="BN149" s="57">
        <f t="shared" si="465"/>
        <v>0</v>
      </c>
      <c r="BO149" s="57">
        <f t="shared" si="466"/>
        <v>0</v>
      </c>
      <c r="BP149" s="57">
        <f t="shared" si="467"/>
        <v>0</v>
      </c>
      <c r="BQ149" s="57">
        <f t="shared" si="468"/>
        <v>0</v>
      </c>
      <c r="BR149" s="57">
        <f t="shared" si="469"/>
        <v>0</v>
      </c>
      <c r="BS149" s="157">
        <f t="shared" si="470"/>
        <v>0</v>
      </c>
      <c r="BT149" s="157">
        <f t="shared" si="344"/>
        <v>0</v>
      </c>
      <c r="BU149" s="157">
        <f t="shared" si="345"/>
        <v>0</v>
      </c>
      <c r="BV149" s="144"/>
      <c r="BW149" s="158">
        <f t="shared" ref="BW149:BW165" si="509">L149*(1-$D149)</f>
        <v>0</v>
      </c>
      <c r="BX149" s="159">
        <f t="shared" ref="BX149:BX165" si="510">T149*(1-$D149)</f>
        <v>0</v>
      </c>
      <c r="BY149" s="159">
        <f t="shared" ref="BY149:BY165" si="511">AB149*(1-$D149)</f>
        <v>0</v>
      </c>
      <c r="BZ149" s="159">
        <f t="shared" ref="BZ149:BZ165" si="512">AJ149*(1-$D149)</f>
        <v>0</v>
      </c>
      <c r="CA149" s="158">
        <f t="shared" si="475"/>
        <v>0</v>
      </c>
      <c r="CB149" s="157">
        <f t="shared" si="476"/>
        <v>0</v>
      </c>
      <c r="CC149" s="144"/>
      <c r="CD149" s="158">
        <f t="shared" ref="CD149:CD165" si="513">+BW149*F$16</f>
        <v>0</v>
      </c>
      <c r="CE149" s="159">
        <f t="shared" ref="CE149:CE165" si="514">+BX149*G$16</f>
        <v>0</v>
      </c>
      <c r="CF149" s="159">
        <f t="shared" ref="CF149:CF165" si="515">+BY149*H$16</f>
        <v>0</v>
      </c>
      <c r="CG149" s="159">
        <f t="shared" si="503"/>
        <v>0</v>
      </c>
      <c r="CH149" s="158">
        <f t="shared" si="504"/>
        <v>0</v>
      </c>
      <c r="CI149" s="157">
        <f t="shared" si="481"/>
        <v>0</v>
      </c>
      <c r="CK149" s="61">
        <f t="shared" si="482"/>
        <v>0</v>
      </c>
      <c r="CL149" s="62">
        <f t="shared" si="483"/>
        <v>0</v>
      </c>
      <c r="CM149" s="63">
        <f t="shared" si="484"/>
        <v>0</v>
      </c>
      <c r="CN149" s="61">
        <f t="shared" si="485"/>
        <v>0</v>
      </c>
      <c r="CO149" s="29"/>
      <c r="CP149" s="61">
        <f t="shared" ref="CP149:CP165" si="516">+CD149/CD$177</f>
        <v>0</v>
      </c>
      <c r="CQ149" s="62">
        <f t="shared" ref="CQ149:CQ165" si="517">+CE149/CE$177</f>
        <v>0</v>
      </c>
      <c r="CR149" s="63">
        <f t="shared" ref="CR149:CR165" si="518">+CF149/CF$177</f>
        <v>0</v>
      </c>
      <c r="CS149" s="61">
        <f t="shared" ref="CS149:CS165" si="519">+CG149/CG$177</f>
        <v>0</v>
      </c>
      <c r="CU149" s="60">
        <f t="shared" si="492"/>
        <v>0</v>
      </c>
      <c r="CV149" s="132">
        <f t="shared" si="493"/>
        <v>0</v>
      </c>
      <c r="CW149" s="132">
        <f t="shared" si="494"/>
        <v>0</v>
      </c>
      <c r="CX149" s="131">
        <f t="shared" si="495"/>
        <v>0</v>
      </c>
    </row>
    <row r="150" spans="1:102">
      <c r="A150" s="214">
        <v>413</v>
      </c>
      <c r="B150" s="214" t="s">
        <v>6</v>
      </c>
      <c r="C150" s="215" t="s">
        <v>182</v>
      </c>
      <c r="D150" s="216">
        <v>1</v>
      </c>
      <c r="E150" s="57">
        <f>VLOOKUP(A150,AuxOPEXSaneparOriginal!$B$4:$F$177,3,0)</f>
        <v>27856.43</v>
      </c>
      <c r="F150" s="156">
        <f>VLOOKUP(A150,AuxOPEXSaneparOriginal!$B$4:$F$177,4,0)</f>
        <v>319931.09000000003</v>
      </c>
      <c r="G150" s="57">
        <f>VLOOKUP(A150,AuxOPEXSaneparOriginal!$B$4:$K$177,8,0)</f>
        <v>320941.85999999993</v>
      </c>
      <c r="H150" s="156">
        <f>VLOOKUP(A150,AuxOPEXSaneparOriginal!$B$4:$K$177,9,0)</f>
        <v>143626.13</v>
      </c>
      <c r="I150" s="57">
        <f>VLOOKUP(A150,AuxOPEXSaneparOriginal!$B$4:$N$177,13,0)</f>
        <v>261436.91</v>
      </c>
      <c r="J150" s="57">
        <f>VLOOKUP(A150,AuxOPEXSaneparOriginal!$B$4:$Q$177,16,0)</f>
        <v>3216556.38</v>
      </c>
      <c r="K150" s="57">
        <f>VLOOKUP(A150,AuxOPEXSaneparOriginal!$B$4:$V$177,21,0)</f>
        <v>0</v>
      </c>
      <c r="L150" s="157">
        <f t="shared" si="505"/>
        <v>4290348.8</v>
      </c>
      <c r="M150" s="19">
        <f>VLOOKUP(A150,AuxOPEXSaneparOriginal!$B$4:$AB$177,27,0)</f>
        <v>100350.08</v>
      </c>
      <c r="N150" s="156">
        <f>VLOOKUP(A150,AuxOPEXSaneparOriginal!$B$4:$AC$177,28,0)</f>
        <v>268700.15999999997</v>
      </c>
      <c r="O150" s="156">
        <f>VLOOKUP(A150,AuxOPEXSaneparOriginal!$B$4:$AD$177,29,0)</f>
        <v>267254.31</v>
      </c>
      <c r="P150" s="156">
        <f>VLOOKUP(A150,AuxOPEXSaneparOriginal!$B$4:$AE$177,30,0)</f>
        <v>0</v>
      </c>
      <c r="Q150" s="146">
        <f>VLOOKUP(A150,AuxOPEXSaneparOriginal!$B$4:$AF$177,31,0)</f>
        <v>359259.8</v>
      </c>
      <c r="R150" s="146">
        <f>VLOOKUP(A150,AuxOPEXSaneparOriginal!$B$4:$AG$177,32,0)</f>
        <v>3442504.4699999997</v>
      </c>
      <c r="S150" s="146">
        <f>VLOOKUP(A150,AuxOPEXSaneparOriginal!$B$4:$AH$177,33,0)</f>
        <v>0</v>
      </c>
      <c r="T150" s="157">
        <f t="shared" si="506"/>
        <v>4438068.82</v>
      </c>
      <c r="U150" s="156">
        <f>VLOOKUP(A150,AuxOPEXSaneparOriginal!$B$4:$AI$177,34,0)</f>
        <v>72705.11</v>
      </c>
      <c r="V150" s="156">
        <f>VLOOKUP(A150,AuxOPEXSaneparOriginal!$B$4:$AJ$177,35,0)</f>
        <v>304049.31</v>
      </c>
      <c r="W150" s="156">
        <f>VLOOKUP(A150,AuxOPEXSaneparOriginal!$B$4:$AK$177,36,0)</f>
        <v>84411.790000000008</v>
      </c>
      <c r="X150" s="19">
        <f>+VLOOKUP(A150,AuxOPEXSaneparOriginal!$B$4:$AL$177,37,0)</f>
        <v>167960.41</v>
      </c>
      <c r="Y150" s="146">
        <f>VLOOKUP(A150,AuxOPEXSaneparOriginal!$B$4:$AM$177,38,0)</f>
        <v>62704.88</v>
      </c>
      <c r="Z150" s="146">
        <f>VLOOKUP(A150,AuxOPEXSaneparOriginal!$B$4:$AN$177,39,0)</f>
        <v>1755948.21</v>
      </c>
      <c r="AA150" s="146">
        <f>VLOOKUP(A150,AuxOPEXSaneparOriginal!$B$4:$AO$177,40,0)</f>
        <v>0</v>
      </c>
      <c r="AB150" s="157">
        <f t="shared" si="507"/>
        <v>2447779.71</v>
      </c>
      <c r="AC150" s="156">
        <f>VLOOKUP(A150,AuxOPEXSaneparOriginal!$B$4:$AP$177,41,0)</f>
        <v>39994.619999999995</v>
      </c>
      <c r="AD150" s="156">
        <f>+VLOOKUP(A150,AuxOPEXSaneparOriginal!$B$4:$AQ$177,42,0)</f>
        <v>163333.06</v>
      </c>
      <c r="AE150" s="156">
        <f>VLOOKUP(A150,AuxOPEXSaneparOriginal!$B$4:$AR$177,43,0)</f>
        <v>124177.87</v>
      </c>
      <c r="AF150" s="156">
        <f>+VLOOKUP(A150,AuxOPEXSaneparOriginal!$B$4:$AS$177,44,0)</f>
        <v>120792.18</v>
      </c>
      <c r="AG150" s="146">
        <f>VLOOKUP(A150,AuxOPEXSaneparOriginal!$B$4:$AT$177,45,0)</f>
        <v>3635.18</v>
      </c>
      <c r="AH150" s="146">
        <f>VLOOKUP(A150,AuxOPEXSaneparOriginal!$B$4:$AU$177,46,0)</f>
        <v>430887.8</v>
      </c>
      <c r="AI150" s="146">
        <f>VLOOKUP(A150,AuxOPEXSaneparOriginal!$B$4:$AV$177,47,0)</f>
        <v>0</v>
      </c>
      <c r="AJ150" s="157">
        <f t="shared" si="508"/>
        <v>882820.71</v>
      </c>
      <c r="AK150" s="157">
        <f t="shared" si="490"/>
        <v>3014754.51</v>
      </c>
      <c r="AL150" s="157">
        <f t="shared" si="491"/>
        <v>1665300.21</v>
      </c>
      <c r="AM150" s="144"/>
      <c r="AN150" s="167">
        <f t="shared" si="496"/>
        <v>0</v>
      </c>
      <c r="AO150" s="168">
        <f t="shared" si="497"/>
        <v>0</v>
      </c>
      <c r="AP150" s="57">
        <f t="shared" si="498"/>
        <v>0</v>
      </c>
      <c r="AQ150" s="57">
        <f t="shared" si="499"/>
        <v>0</v>
      </c>
      <c r="AR150" s="57">
        <f t="shared" si="500"/>
        <v>0</v>
      </c>
      <c r="AS150" s="57">
        <f t="shared" si="501"/>
        <v>0</v>
      </c>
      <c r="AT150" s="57">
        <f t="shared" si="502"/>
        <v>0</v>
      </c>
      <c r="AU150" s="157">
        <f t="shared" si="446"/>
        <v>0</v>
      </c>
      <c r="AV150" s="57">
        <f t="shared" si="447"/>
        <v>0</v>
      </c>
      <c r="AW150" s="57">
        <f t="shared" si="448"/>
        <v>0</v>
      </c>
      <c r="AX150" s="57">
        <f t="shared" si="449"/>
        <v>0</v>
      </c>
      <c r="AY150" s="57">
        <f t="shared" si="450"/>
        <v>0</v>
      </c>
      <c r="AZ150" s="57">
        <f t="shared" si="451"/>
        <v>0</v>
      </c>
      <c r="BA150" s="57">
        <f t="shared" si="452"/>
        <v>0</v>
      </c>
      <c r="BB150" s="57">
        <f t="shared" si="453"/>
        <v>0</v>
      </c>
      <c r="BC150" s="157">
        <f t="shared" si="454"/>
        <v>0</v>
      </c>
      <c r="BD150" s="57">
        <f t="shared" si="455"/>
        <v>0</v>
      </c>
      <c r="BE150" s="57">
        <f t="shared" si="456"/>
        <v>0</v>
      </c>
      <c r="BF150" s="57">
        <f t="shared" si="457"/>
        <v>0</v>
      </c>
      <c r="BG150" s="57">
        <f t="shared" si="458"/>
        <v>0</v>
      </c>
      <c r="BH150" s="57">
        <f t="shared" si="459"/>
        <v>0</v>
      </c>
      <c r="BI150" s="57">
        <f t="shared" si="460"/>
        <v>0</v>
      </c>
      <c r="BJ150" s="57">
        <f t="shared" si="461"/>
        <v>0</v>
      </c>
      <c r="BK150" s="157">
        <f t="shared" si="462"/>
        <v>0</v>
      </c>
      <c r="BL150" s="57">
        <f t="shared" si="463"/>
        <v>0</v>
      </c>
      <c r="BM150" s="57">
        <f t="shared" si="464"/>
        <v>0</v>
      </c>
      <c r="BN150" s="57">
        <f t="shared" si="465"/>
        <v>0</v>
      </c>
      <c r="BO150" s="57">
        <f t="shared" si="466"/>
        <v>0</v>
      </c>
      <c r="BP150" s="57">
        <f t="shared" si="467"/>
        <v>0</v>
      </c>
      <c r="BQ150" s="57">
        <f t="shared" si="468"/>
        <v>0</v>
      </c>
      <c r="BR150" s="57">
        <f t="shared" si="469"/>
        <v>0</v>
      </c>
      <c r="BS150" s="157">
        <f t="shared" si="470"/>
        <v>0</v>
      </c>
      <c r="BT150" s="157">
        <f t="shared" si="344"/>
        <v>0</v>
      </c>
      <c r="BU150" s="157">
        <f t="shared" si="345"/>
        <v>0</v>
      </c>
      <c r="BV150" s="144"/>
      <c r="BW150" s="158">
        <f t="shared" si="509"/>
        <v>0</v>
      </c>
      <c r="BX150" s="159">
        <f t="shared" si="510"/>
        <v>0</v>
      </c>
      <c r="BY150" s="159">
        <f t="shared" si="511"/>
        <v>0</v>
      </c>
      <c r="BZ150" s="159">
        <f t="shared" si="512"/>
        <v>0</v>
      </c>
      <c r="CA150" s="158">
        <f t="shared" si="475"/>
        <v>0</v>
      </c>
      <c r="CB150" s="157">
        <f t="shared" si="476"/>
        <v>0</v>
      </c>
      <c r="CC150" s="144"/>
      <c r="CD150" s="158">
        <f t="shared" si="513"/>
        <v>0</v>
      </c>
      <c r="CE150" s="159">
        <f t="shared" si="514"/>
        <v>0</v>
      </c>
      <c r="CF150" s="159">
        <f t="shared" si="515"/>
        <v>0</v>
      </c>
      <c r="CG150" s="159">
        <f t="shared" si="503"/>
        <v>0</v>
      </c>
      <c r="CH150" s="158">
        <f t="shared" si="504"/>
        <v>0</v>
      </c>
      <c r="CI150" s="157">
        <f t="shared" si="481"/>
        <v>0</v>
      </c>
      <c r="CK150" s="61">
        <f t="shared" si="482"/>
        <v>0</v>
      </c>
      <c r="CL150" s="62">
        <f t="shared" si="483"/>
        <v>0</v>
      </c>
      <c r="CM150" s="63">
        <f t="shared" si="484"/>
        <v>0</v>
      </c>
      <c r="CN150" s="61">
        <f t="shared" si="485"/>
        <v>0</v>
      </c>
      <c r="CO150" s="29"/>
      <c r="CP150" s="61">
        <f t="shared" si="516"/>
        <v>0</v>
      </c>
      <c r="CQ150" s="62">
        <f t="shared" si="517"/>
        <v>0</v>
      </c>
      <c r="CR150" s="63">
        <f t="shared" si="518"/>
        <v>0</v>
      </c>
      <c r="CS150" s="61">
        <f t="shared" si="519"/>
        <v>0</v>
      </c>
      <c r="CU150" s="60">
        <f t="shared" si="492"/>
        <v>0</v>
      </c>
      <c r="CV150" s="132">
        <f t="shared" si="493"/>
        <v>0</v>
      </c>
      <c r="CW150" s="132">
        <f t="shared" si="494"/>
        <v>0</v>
      </c>
      <c r="CX150" s="131">
        <f t="shared" si="495"/>
        <v>0</v>
      </c>
    </row>
    <row r="151" spans="1:102">
      <c r="A151" s="214">
        <v>418</v>
      </c>
      <c r="B151" s="214" t="s">
        <v>6</v>
      </c>
      <c r="C151" s="215" t="s">
        <v>183</v>
      </c>
      <c r="D151" s="216">
        <v>1</v>
      </c>
      <c r="E151" s="57">
        <f>VLOOKUP(A151,AuxOPEXSaneparOriginal!$B$4:$F$177,3,0)</f>
        <v>53876.53</v>
      </c>
      <c r="F151" s="156">
        <f>VLOOKUP(A151,AuxOPEXSaneparOriginal!$B$4:$F$177,4,0)</f>
        <v>0</v>
      </c>
      <c r="G151" s="57">
        <f>VLOOKUP(A151,AuxOPEXSaneparOriginal!$B$4:$K$177,8,0)</f>
        <v>340335.1</v>
      </c>
      <c r="H151" s="156">
        <f>VLOOKUP(A151,AuxOPEXSaneparOriginal!$B$4:$K$177,9,0)</f>
        <v>784826.97</v>
      </c>
      <c r="I151" s="57">
        <f>VLOOKUP(A151,AuxOPEXSaneparOriginal!$B$4:$N$177,13,0)</f>
        <v>0</v>
      </c>
      <c r="J151" s="57">
        <f>VLOOKUP(A151,AuxOPEXSaneparOriginal!$B$4:$Q$177,16,0)</f>
        <v>15855.19</v>
      </c>
      <c r="K151" s="57">
        <f>VLOOKUP(A151,AuxOPEXSaneparOriginal!$B$4:$V$177,21,0)</f>
        <v>0</v>
      </c>
      <c r="L151" s="157">
        <f t="shared" si="505"/>
        <v>1194893.79</v>
      </c>
      <c r="M151" s="19">
        <f>VLOOKUP(A151,AuxOPEXSaneparOriginal!$B$4:$AB$177,27,0)</f>
        <v>0</v>
      </c>
      <c r="N151" s="156">
        <f>VLOOKUP(A151,AuxOPEXSaneparOriginal!$B$4:$AC$177,28,0)</f>
        <v>0</v>
      </c>
      <c r="O151" s="156">
        <f>VLOOKUP(A151,AuxOPEXSaneparOriginal!$B$4:$AD$177,29,0)</f>
        <v>0</v>
      </c>
      <c r="P151" s="156">
        <f>VLOOKUP(A151,AuxOPEXSaneparOriginal!$B$4:$AE$177,30,0)</f>
        <v>0</v>
      </c>
      <c r="Q151" s="146">
        <f>VLOOKUP(A151,AuxOPEXSaneparOriginal!$B$4:$AF$177,31,0)</f>
        <v>0</v>
      </c>
      <c r="R151" s="146">
        <f>VLOOKUP(A151,AuxOPEXSaneparOriginal!$B$4:$AG$177,32,0)</f>
        <v>0</v>
      </c>
      <c r="S151" s="146">
        <f>VLOOKUP(A151,AuxOPEXSaneparOriginal!$B$4:$AH$177,33,0)</f>
        <v>0</v>
      </c>
      <c r="T151" s="157">
        <f t="shared" si="506"/>
        <v>0</v>
      </c>
      <c r="U151" s="156">
        <f>VLOOKUP(A151,AuxOPEXSaneparOriginal!$B$4:$AI$177,34,0)</f>
        <v>0</v>
      </c>
      <c r="V151" s="156">
        <f>VLOOKUP(A151,AuxOPEXSaneparOriginal!$B$4:$AJ$177,35,0)</f>
        <v>0</v>
      </c>
      <c r="W151" s="156">
        <f>VLOOKUP(A151,AuxOPEXSaneparOriginal!$B$4:$AK$177,36,0)</f>
        <v>0</v>
      </c>
      <c r="X151" s="19">
        <f>+VLOOKUP(A151,AuxOPEXSaneparOriginal!$B$4:$AL$177,37,0)</f>
        <v>0</v>
      </c>
      <c r="Y151" s="146">
        <f>VLOOKUP(A151,AuxOPEXSaneparOriginal!$B$4:$AM$177,38,0)</f>
        <v>0</v>
      </c>
      <c r="Z151" s="146">
        <f>VLOOKUP(A151,AuxOPEXSaneparOriginal!$B$4:$AN$177,39,0)</f>
        <v>0</v>
      </c>
      <c r="AA151" s="146">
        <f>VLOOKUP(A151,AuxOPEXSaneparOriginal!$B$4:$AO$177,40,0)</f>
        <v>0</v>
      </c>
      <c r="AB151" s="157">
        <f t="shared" si="507"/>
        <v>0</v>
      </c>
      <c r="AC151" s="156">
        <f>VLOOKUP(A151,AuxOPEXSaneparOriginal!$B$4:$AP$177,41,0)</f>
        <v>0</v>
      </c>
      <c r="AD151" s="156">
        <f>+VLOOKUP(A151,AuxOPEXSaneparOriginal!$B$4:$AQ$177,42,0)</f>
        <v>0</v>
      </c>
      <c r="AE151" s="156">
        <f>VLOOKUP(A151,AuxOPEXSaneparOriginal!$B$4:$AR$177,43,0)</f>
        <v>0</v>
      </c>
      <c r="AF151" s="156">
        <f>+VLOOKUP(A151,AuxOPEXSaneparOriginal!$B$4:$AS$177,44,0)</f>
        <v>0</v>
      </c>
      <c r="AG151" s="146">
        <f>VLOOKUP(A151,AuxOPEXSaneparOriginal!$B$4:$AT$177,45,0)</f>
        <v>0</v>
      </c>
      <c r="AH151" s="146">
        <f>VLOOKUP(A151,AuxOPEXSaneparOriginal!$B$4:$AU$177,46,0)</f>
        <v>0</v>
      </c>
      <c r="AI151" s="146">
        <f>VLOOKUP(A151,AuxOPEXSaneparOriginal!$B$4:$AV$177,47,0)</f>
        <v>0</v>
      </c>
      <c r="AJ151" s="157">
        <f t="shared" si="508"/>
        <v>0</v>
      </c>
      <c r="AK151" s="157">
        <f t="shared" si="490"/>
        <v>298723.44750000001</v>
      </c>
      <c r="AL151" s="157">
        <f t="shared" si="491"/>
        <v>0</v>
      </c>
      <c r="AM151" s="144"/>
      <c r="AN151" s="167">
        <f t="shared" si="496"/>
        <v>0</v>
      </c>
      <c r="AO151" s="168">
        <f t="shared" si="497"/>
        <v>0</v>
      </c>
      <c r="AP151" s="57">
        <f t="shared" si="498"/>
        <v>0</v>
      </c>
      <c r="AQ151" s="57">
        <f t="shared" si="499"/>
        <v>0</v>
      </c>
      <c r="AR151" s="57">
        <f t="shared" si="500"/>
        <v>0</v>
      </c>
      <c r="AS151" s="57">
        <f t="shared" si="501"/>
        <v>0</v>
      </c>
      <c r="AT151" s="57">
        <f t="shared" si="502"/>
        <v>0</v>
      </c>
      <c r="AU151" s="157">
        <f t="shared" si="446"/>
        <v>0</v>
      </c>
      <c r="AV151" s="57">
        <f t="shared" si="447"/>
        <v>0</v>
      </c>
      <c r="AW151" s="57">
        <f t="shared" si="448"/>
        <v>0</v>
      </c>
      <c r="AX151" s="57">
        <f t="shared" si="449"/>
        <v>0</v>
      </c>
      <c r="AY151" s="57">
        <f t="shared" si="450"/>
        <v>0</v>
      </c>
      <c r="AZ151" s="57">
        <f t="shared" si="451"/>
        <v>0</v>
      </c>
      <c r="BA151" s="57">
        <f t="shared" si="452"/>
        <v>0</v>
      </c>
      <c r="BB151" s="57">
        <f t="shared" si="453"/>
        <v>0</v>
      </c>
      <c r="BC151" s="157">
        <f t="shared" si="454"/>
        <v>0</v>
      </c>
      <c r="BD151" s="57">
        <f t="shared" si="455"/>
        <v>0</v>
      </c>
      <c r="BE151" s="57">
        <f t="shared" si="456"/>
        <v>0</v>
      </c>
      <c r="BF151" s="57">
        <f t="shared" si="457"/>
        <v>0</v>
      </c>
      <c r="BG151" s="57">
        <f t="shared" si="458"/>
        <v>0</v>
      </c>
      <c r="BH151" s="57">
        <f t="shared" si="459"/>
        <v>0</v>
      </c>
      <c r="BI151" s="57">
        <f t="shared" si="460"/>
        <v>0</v>
      </c>
      <c r="BJ151" s="57">
        <f t="shared" si="461"/>
        <v>0</v>
      </c>
      <c r="BK151" s="157">
        <f t="shared" si="462"/>
        <v>0</v>
      </c>
      <c r="BL151" s="57">
        <f t="shared" si="463"/>
        <v>0</v>
      </c>
      <c r="BM151" s="57">
        <f t="shared" si="464"/>
        <v>0</v>
      </c>
      <c r="BN151" s="57">
        <f t="shared" si="465"/>
        <v>0</v>
      </c>
      <c r="BO151" s="57">
        <f t="shared" si="466"/>
        <v>0</v>
      </c>
      <c r="BP151" s="57">
        <f t="shared" si="467"/>
        <v>0</v>
      </c>
      <c r="BQ151" s="57">
        <f t="shared" si="468"/>
        <v>0</v>
      </c>
      <c r="BR151" s="57">
        <f t="shared" si="469"/>
        <v>0</v>
      </c>
      <c r="BS151" s="157">
        <f t="shared" si="470"/>
        <v>0</v>
      </c>
      <c r="BT151" s="157">
        <f t="shared" si="344"/>
        <v>0</v>
      </c>
      <c r="BU151" s="157">
        <f t="shared" si="345"/>
        <v>0</v>
      </c>
      <c r="BV151" s="144"/>
      <c r="BW151" s="158">
        <f t="shared" si="509"/>
        <v>0</v>
      </c>
      <c r="BX151" s="159">
        <f t="shared" si="510"/>
        <v>0</v>
      </c>
      <c r="BY151" s="159">
        <f t="shared" si="511"/>
        <v>0</v>
      </c>
      <c r="BZ151" s="159">
        <f t="shared" si="512"/>
        <v>0</v>
      </c>
      <c r="CA151" s="158">
        <f t="shared" si="475"/>
        <v>0</v>
      </c>
      <c r="CB151" s="157">
        <f t="shared" si="476"/>
        <v>0</v>
      </c>
      <c r="CC151" s="144"/>
      <c r="CD151" s="158">
        <f t="shared" si="513"/>
        <v>0</v>
      </c>
      <c r="CE151" s="159">
        <f t="shared" si="514"/>
        <v>0</v>
      </c>
      <c r="CF151" s="159">
        <f t="shared" si="515"/>
        <v>0</v>
      </c>
      <c r="CG151" s="159">
        <f t="shared" si="503"/>
        <v>0</v>
      </c>
      <c r="CH151" s="158">
        <f t="shared" si="504"/>
        <v>0</v>
      </c>
      <c r="CI151" s="157">
        <f t="shared" si="481"/>
        <v>0</v>
      </c>
      <c r="CK151" s="61">
        <f t="shared" si="482"/>
        <v>0</v>
      </c>
      <c r="CL151" s="62">
        <f t="shared" si="483"/>
        <v>0</v>
      </c>
      <c r="CM151" s="63">
        <f t="shared" si="484"/>
        <v>0</v>
      </c>
      <c r="CN151" s="61">
        <f t="shared" si="485"/>
        <v>0</v>
      </c>
      <c r="CO151" s="29"/>
      <c r="CP151" s="61">
        <f t="shared" si="516"/>
        <v>0</v>
      </c>
      <c r="CQ151" s="62">
        <f t="shared" si="517"/>
        <v>0</v>
      </c>
      <c r="CR151" s="63">
        <f t="shared" si="518"/>
        <v>0</v>
      </c>
      <c r="CS151" s="61">
        <f t="shared" si="519"/>
        <v>0</v>
      </c>
      <c r="CU151" s="60">
        <f t="shared" si="492"/>
        <v>0</v>
      </c>
      <c r="CV151" s="132">
        <f t="shared" si="493"/>
        <v>0</v>
      </c>
      <c r="CW151" s="132">
        <f t="shared" si="494"/>
        <v>0</v>
      </c>
      <c r="CX151" s="131">
        <f t="shared" si="495"/>
        <v>0</v>
      </c>
    </row>
    <row r="152" spans="1:102">
      <c r="A152" s="214">
        <v>960</v>
      </c>
      <c r="B152" s="214" t="s">
        <v>6</v>
      </c>
      <c r="C152" s="215" t="s">
        <v>183</v>
      </c>
      <c r="D152" s="216">
        <v>1</v>
      </c>
      <c r="E152" s="57">
        <f>VLOOKUP(A152,AuxOPEXSaneparOriginal!$B$4:$F$177,3,0)</f>
        <v>0</v>
      </c>
      <c r="F152" s="156">
        <f>VLOOKUP(A152,AuxOPEXSaneparOriginal!$B$4:$F$177,4,0)</f>
        <v>0</v>
      </c>
      <c r="G152" s="57">
        <f>VLOOKUP(A152,AuxOPEXSaneparOriginal!$B$4:$K$177,8,0)</f>
        <v>0</v>
      </c>
      <c r="H152" s="156">
        <f>VLOOKUP(A152,AuxOPEXSaneparOriginal!$B$4:$K$177,9,0)</f>
        <v>0</v>
      </c>
      <c r="I152" s="57">
        <f>VLOOKUP(A152,AuxOPEXSaneparOriginal!$B$4:$N$177,13,0)</f>
        <v>0</v>
      </c>
      <c r="J152" s="57">
        <f>VLOOKUP(A152,AuxOPEXSaneparOriginal!$B$4:$Q$177,16,0)</f>
        <v>0</v>
      </c>
      <c r="K152" s="57">
        <f>VLOOKUP(A152,AuxOPEXSaneparOriginal!$B$4:$V$177,21,0)</f>
        <v>55910999.999999955</v>
      </c>
      <c r="L152" s="157">
        <f t="shared" si="505"/>
        <v>55910999.999999955</v>
      </c>
      <c r="M152" s="19">
        <f>VLOOKUP(A152,AuxOPEXSaneparOriginal!$B$4:$AB$177,27,0)</f>
        <v>0</v>
      </c>
      <c r="N152" s="156">
        <f>VLOOKUP(A152,AuxOPEXSaneparOriginal!$B$4:$AC$177,28,0)</f>
        <v>0</v>
      </c>
      <c r="O152" s="156">
        <f>VLOOKUP(A152,AuxOPEXSaneparOriginal!$B$4:$AD$177,29,0)</f>
        <v>0</v>
      </c>
      <c r="P152" s="156">
        <f>VLOOKUP(A152,AuxOPEXSaneparOriginal!$B$4:$AE$177,30,0)</f>
        <v>0</v>
      </c>
      <c r="Q152" s="146">
        <f>VLOOKUP(A152,AuxOPEXSaneparOriginal!$B$4:$AF$177,31,0)</f>
        <v>0</v>
      </c>
      <c r="R152" s="146">
        <f>VLOOKUP(A152,AuxOPEXSaneparOriginal!$B$4:$AG$177,32,0)</f>
        <v>0</v>
      </c>
      <c r="S152" s="146">
        <f>VLOOKUP(A152,AuxOPEXSaneparOriginal!$B$4:$AH$177,33,0)</f>
        <v>26028959.919999991</v>
      </c>
      <c r="T152" s="157">
        <f t="shared" si="506"/>
        <v>26028959.919999991</v>
      </c>
      <c r="U152" s="156">
        <f>VLOOKUP(A152,AuxOPEXSaneparOriginal!$B$4:$AI$177,34,0)</f>
        <v>0</v>
      </c>
      <c r="V152" s="156">
        <f>VLOOKUP(A152,AuxOPEXSaneparOriginal!$B$4:$AJ$177,35,0)</f>
        <v>0</v>
      </c>
      <c r="W152" s="156">
        <f>VLOOKUP(A152,AuxOPEXSaneparOriginal!$B$4:$AK$177,36,0)</f>
        <v>0</v>
      </c>
      <c r="X152" s="19">
        <f>+VLOOKUP(A152,AuxOPEXSaneparOriginal!$B$4:$AL$177,37,0)</f>
        <v>0</v>
      </c>
      <c r="Y152" s="146">
        <f>VLOOKUP(A152,AuxOPEXSaneparOriginal!$B$4:$AM$177,38,0)</f>
        <v>0</v>
      </c>
      <c r="Z152" s="146">
        <f>VLOOKUP(A152,AuxOPEXSaneparOriginal!$B$4:$AN$177,39,0)</f>
        <v>0</v>
      </c>
      <c r="AA152" s="146">
        <f>VLOOKUP(A152,AuxOPEXSaneparOriginal!$B$4:$AO$177,40,0)</f>
        <v>896066.74</v>
      </c>
      <c r="AB152" s="157">
        <f t="shared" si="507"/>
        <v>896066.74</v>
      </c>
      <c r="AC152" s="156">
        <f>VLOOKUP(A152,AuxOPEXSaneparOriginal!$B$4:$AP$177,41,0)</f>
        <v>0</v>
      </c>
      <c r="AD152" s="156">
        <f>+VLOOKUP(A152,AuxOPEXSaneparOriginal!$B$4:$AQ$177,42,0)</f>
        <v>0</v>
      </c>
      <c r="AE152" s="156">
        <f>VLOOKUP(A152,AuxOPEXSaneparOriginal!$B$4:$AR$177,43,0)</f>
        <v>0</v>
      </c>
      <c r="AF152" s="156">
        <f>+VLOOKUP(A152,AuxOPEXSaneparOriginal!$B$4:$AS$177,44,0)</f>
        <v>0</v>
      </c>
      <c r="AG152" s="146">
        <f>VLOOKUP(A152,AuxOPEXSaneparOriginal!$B$4:$AT$177,45,0)</f>
        <v>0</v>
      </c>
      <c r="AH152" s="146">
        <f>VLOOKUP(A152,AuxOPEXSaneparOriginal!$B$4:$AU$177,46,0)</f>
        <v>0</v>
      </c>
      <c r="AI152" s="146">
        <f>VLOOKUP(A152,AuxOPEXSaneparOriginal!$B$4:$AV$177,47,0)</f>
        <v>19389240.370000001</v>
      </c>
      <c r="AJ152" s="157">
        <f t="shared" si="508"/>
        <v>19389240.370000001</v>
      </c>
      <c r="AK152" s="157">
        <f t="shared" si="490"/>
        <v>25556316.757499985</v>
      </c>
      <c r="AL152" s="157">
        <f t="shared" si="491"/>
        <v>10142653.555</v>
      </c>
      <c r="AM152" s="144"/>
      <c r="AN152" s="167">
        <f t="shared" si="496"/>
        <v>0</v>
      </c>
      <c r="AO152" s="168">
        <f t="shared" si="497"/>
        <v>0</v>
      </c>
      <c r="AP152" s="57">
        <f t="shared" si="498"/>
        <v>0</v>
      </c>
      <c r="AQ152" s="57">
        <f t="shared" si="499"/>
        <v>0</v>
      </c>
      <c r="AR152" s="57">
        <f t="shared" si="500"/>
        <v>0</v>
      </c>
      <c r="AS152" s="57">
        <f t="shared" si="501"/>
        <v>0</v>
      </c>
      <c r="AT152" s="57">
        <f t="shared" si="502"/>
        <v>0</v>
      </c>
      <c r="AU152" s="157">
        <f t="shared" si="446"/>
        <v>0</v>
      </c>
      <c r="AV152" s="57">
        <f t="shared" si="447"/>
        <v>0</v>
      </c>
      <c r="AW152" s="57">
        <f t="shared" si="448"/>
        <v>0</v>
      </c>
      <c r="AX152" s="57">
        <f t="shared" si="449"/>
        <v>0</v>
      </c>
      <c r="AY152" s="57">
        <f t="shared" si="450"/>
        <v>0</v>
      </c>
      <c r="AZ152" s="57">
        <f t="shared" si="451"/>
        <v>0</v>
      </c>
      <c r="BA152" s="57">
        <f t="shared" si="452"/>
        <v>0</v>
      </c>
      <c r="BB152" s="57">
        <f t="shared" si="453"/>
        <v>0</v>
      </c>
      <c r="BC152" s="157">
        <f t="shared" si="454"/>
        <v>0</v>
      </c>
      <c r="BD152" s="57">
        <f t="shared" si="455"/>
        <v>0</v>
      </c>
      <c r="BE152" s="57">
        <f t="shared" si="456"/>
        <v>0</v>
      </c>
      <c r="BF152" s="57">
        <f t="shared" si="457"/>
        <v>0</v>
      </c>
      <c r="BG152" s="57">
        <f t="shared" si="458"/>
        <v>0</v>
      </c>
      <c r="BH152" s="57">
        <f t="shared" si="459"/>
        <v>0</v>
      </c>
      <c r="BI152" s="57">
        <f t="shared" si="460"/>
        <v>0</v>
      </c>
      <c r="BJ152" s="57">
        <f t="shared" si="461"/>
        <v>0</v>
      </c>
      <c r="BK152" s="157">
        <f t="shared" si="462"/>
        <v>0</v>
      </c>
      <c r="BL152" s="57">
        <f t="shared" si="463"/>
        <v>0</v>
      </c>
      <c r="BM152" s="57">
        <f t="shared" si="464"/>
        <v>0</v>
      </c>
      <c r="BN152" s="57">
        <f t="shared" si="465"/>
        <v>0</v>
      </c>
      <c r="BO152" s="57">
        <f t="shared" si="466"/>
        <v>0</v>
      </c>
      <c r="BP152" s="57">
        <f t="shared" si="467"/>
        <v>0</v>
      </c>
      <c r="BQ152" s="57">
        <f t="shared" si="468"/>
        <v>0</v>
      </c>
      <c r="BR152" s="57">
        <f t="shared" si="469"/>
        <v>0</v>
      </c>
      <c r="BS152" s="157">
        <f t="shared" si="470"/>
        <v>0</v>
      </c>
      <c r="BT152" s="157">
        <f t="shared" si="344"/>
        <v>0</v>
      </c>
      <c r="BU152" s="157">
        <f t="shared" si="345"/>
        <v>0</v>
      </c>
      <c r="BV152" s="144"/>
      <c r="BW152" s="158">
        <f t="shared" si="509"/>
        <v>0</v>
      </c>
      <c r="BX152" s="159">
        <f t="shared" si="510"/>
        <v>0</v>
      </c>
      <c r="BY152" s="159">
        <f t="shared" si="511"/>
        <v>0</v>
      </c>
      <c r="BZ152" s="159">
        <f t="shared" si="512"/>
        <v>0</v>
      </c>
      <c r="CA152" s="158">
        <f t="shared" si="475"/>
        <v>0</v>
      </c>
      <c r="CB152" s="157">
        <f t="shared" si="476"/>
        <v>0</v>
      </c>
      <c r="CC152" s="144"/>
      <c r="CD152" s="158">
        <f t="shared" si="513"/>
        <v>0</v>
      </c>
      <c r="CE152" s="159">
        <f t="shared" si="514"/>
        <v>0</v>
      </c>
      <c r="CF152" s="159">
        <f t="shared" si="515"/>
        <v>0</v>
      </c>
      <c r="CG152" s="159">
        <f t="shared" si="503"/>
        <v>0</v>
      </c>
      <c r="CH152" s="158">
        <f t="shared" si="504"/>
        <v>0</v>
      </c>
      <c r="CI152" s="157">
        <f t="shared" si="481"/>
        <v>0</v>
      </c>
      <c r="CK152" s="61">
        <f t="shared" si="482"/>
        <v>0</v>
      </c>
      <c r="CL152" s="62">
        <f t="shared" si="483"/>
        <v>0</v>
      </c>
      <c r="CM152" s="63">
        <f t="shared" si="484"/>
        <v>0</v>
      </c>
      <c r="CN152" s="61">
        <f t="shared" si="485"/>
        <v>0</v>
      </c>
      <c r="CO152" s="29"/>
      <c r="CP152" s="61">
        <f t="shared" si="516"/>
        <v>0</v>
      </c>
      <c r="CQ152" s="62">
        <f t="shared" si="517"/>
        <v>0</v>
      </c>
      <c r="CR152" s="63">
        <f t="shared" si="518"/>
        <v>0</v>
      </c>
      <c r="CS152" s="61">
        <f t="shared" si="519"/>
        <v>0</v>
      </c>
      <c r="CU152" s="60">
        <f t="shared" si="492"/>
        <v>0</v>
      </c>
      <c r="CV152" s="132">
        <f t="shared" si="493"/>
        <v>0</v>
      </c>
      <c r="CW152" s="132">
        <f t="shared" si="494"/>
        <v>0</v>
      </c>
      <c r="CX152" s="131">
        <f t="shared" si="495"/>
        <v>0</v>
      </c>
    </row>
    <row r="153" spans="1:102">
      <c r="A153" s="214">
        <v>502</v>
      </c>
      <c r="B153" s="214" t="s">
        <v>6</v>
      </c>
      <c r="C153" s="215" t="s">
        <v>184</v>
      </c>
      <c r="D153" s="216">
        <v>1</v>
      </c>
      <c r="E153" s="57">
        <f>VLOOKUP(A153,AuxOPEXSaneparOriginal!$B$4:$F$177,3,0)</f>
        <v>0</v>
      </c>
      <c r="F153" s="156">
        <f>VLOOKUP(A153,AuxOPEXSaneparOriginal!$B$4:$F$177,4,0)</f>
        <v>0</v>
      </c>
      <c r="G153" s="57">
        <f>VLOOKUP(A153,AuxOPEXSaneparOriginal!$B$4:$K$177,8,0)</f>
        <v>0</v>
      </c>
      <c r="H153" s="156">
        <f>VLOOKUP(A153,AuxOPEXSaneparOriginal!$B$4:$K$177,9,0)</f>
        <v>0</v>
      </c>
      <c r="I153" s="57">
        <f>VLOOKUP(A153,AuxOPEXSaneparOriginal!$B$4:$N$177,13,0)</f>
        <v>26401214.709999982</v>
      </c>
      <c r="J153" s="57">
        <f>VLOOKUP(A153,AuxOPEXSaneparOriginal!$B$4:$Q$177,16,0)</f>
        <v>2398592.92</v>
      </c>
      <c r="K153" s="57">
        <f>VLOOKUP(A153,AuxOPEXSaneparOriginal!$B$4:$V$177,21,0)</f>
        <v>0</v>
      </c>
      <c r="L153" s="157">
        <f t="shared" si="505"/>
        <v>28799807.62999998</v>
      </c>
      <c r="M153" s="19">
        <f>VLOOKUP(A153,AuxOPEXSaneparOriginal!$B$4:$AB$177,27,0)</f>
        <v>0</v>
      </c>
      <c r="N153" s="156">
        <f>VLOOKUP(A153,AuxOPEXSaneparOriginal!$B$4:$AC$177,28,0)</f>
        <v>0</v>
      </c>
      <c r="O153" s="156">
        <f>VLOOKUP(A153,AuxOPEXSaneparOriginal!$B$4:$AD$177,29,0)</f>
        <v>0</v>
      </c>
      <c r="P153" s="156">
        <f>VLOOKUP(A153,AuxOPEXSaneparOriginal!$B$4:$AE$177,30,0)</f>
        <v>0</v>
      </c>
      <c r="Q153" s="146">
        <f>VLOOKUP(A153,AuxOPEXSaneparOriginal!$B$4:$AF$177,31,0)</f>
        <v>7747109.1300000083</v>
      </c>
      <c r="R153" s="146">
        <f>VLOOKUP(A153,AuxOPEXSaneparOriginal!$B$4:$AG$177,32,0)</f>
        <v>0</v>
      </c>
      <c r="S153" s="146">
        <f>VLOOKUP(A153,AuxOPEXSaneparOriginal!$B$4:$AH$177,33,0)</f>
        <v>0</v>
      </c>
      <c r="T153" s="157">
        <f t="shared" si="506"/>
        <v>7747109.1300000083</v>
      </c>
      <c r="U153" s="156">
        <f>VLOOKUP(A153,AuxOPEXSaneparOriginal!$B$4:$AI$177,34,0)</f>
        <v>0</v>
      </c>
      <c r="V153" s="156">
        <f>VLOOKUP(A153,AuxOPEXSaneparOriginal!$B$4:$AJ$177,35,0)</f>
        <v>0</v>
      </c>
      <c r="W153" s="156">
        <f>VLOOKUP(A153,AuxOPEXSaneparOriginal!$B$4:$AK$177,36,0)</f>
        <v>0</v>
      </c>
      <c r="X153" s="19">
        <f>+VLOOKUP(A153,AuxOPEXSaneparOriginal!$B$4:$AL$177,37,0)</f>
        <v>0</v>
      </c>
      <c r="Y153" s="146">
        <f>VLOOKUP(A153,AuxOPEXSaneparOriginal!$B$4:$AM$177,38,0)</f>
        <v>20850272.929999959</v>
      </c>
      <c r="Z153" s="146">
        <f>VLOOKUP(A153,AuxOPEXSaneparOriginal!$B$4:$AN$177,39,0)</f>
        <v>0</v>
      </c>
      <c r="AA153" s="146">
        <f>VLOOKUP(A153,AuxOPEXSaneparOriginal!$B$4:$AO$177,40,0)</f>
        <v>0</v>
      </c>
      <c r="AB153" s="157">
        <f t="shared" si="507"/>
        <v>20850272.929999959</v>
      </c>
      <c r="AC153" s="156">
        <f>VLOOKUP(A153,AuxOPEXSaneparOriginal!$B$4:$AP$177,41,0)</f>
        <v>0</v>
      </c>
      <c r="AD153" s="156">
        <f>+VLOOKUP(A153,AuxOPEXSaneparOriginal!$B$4:$AQ$177,42,0)</f>
        <v>0</v>
      </c>
      <c r="AE153" s="156">
        <f>VLOOKUP(A153,AuxOPEXSaneparOriginal!$B$4:$AR$177,43,0)</f>
        <v>0</v>
      </c>
      <c r="AF153" s="156">
        <f>+VLOOKUP(A153,AuxOPEXSaneparOriginal!$B$4:$AS$177,44,0)</f>
        <v>0</v>
      </c>
      <c r="AG153" s="146">
        <f>VLOOKUP(A153,AuxOPEXSaneparOriginal!$B$4:$AT$177,45,0)</f>
        <v>90817444.670000061</v>
      </c>
      <c r="AH153" s="146">
        <f>VLOOKUP(A153,AuxOPEXSaneparOriginal!$B$4:$AU$177,46,0)</f>
        <v>154472.07</v>
      </c>
      <c r="AI153" s="146">
        <f>VLOOKUP(A153,AuxOPEXSaneparOriginal!$B$4:$AV$177,47,0)</f>
        <v>0</v>
      </c>
      <c r="AJ153" s="157">
        <f t="shared" si="508"/>
        <v>90971916.740000054</v>
      </c>
      <c r="AK153" s="157">
        <f t="shared" si="490"/>
        <v>37092276.607500002</v>
      </c>
      <c r="AL153" s="157">
        <f t="shared" si="491"/>
        <v>55911094.835000008</v>
      </c>
      <c r="AM153" s="144"/>
      <c r="AN153" s="167">
        <f t="shared" si="496"/>
        <v>0</v>
      </c>
      <c r="AO153" s="168">
        <f t="shared" si="497"/>
        <v>0</v>
      </c>
      <c r="AP153" s="57">
        <f t="shared" si="498"/>
        <v>0</v>
      </c>
      <c r="AQ153" s="57">
        <f t="shared" si="499"/>
        <v>0</v>
      </c>
      <c r="AR153" s="57">
        <f t="shared" si="500"/>
        <v>0</v>
      </c>
      <c r="AS153" s="57">
        <f t="shared" si="501"/>
        <v>0</v>
      </c>
      <c r="AT153" s="57">
        <f t="shared" si="502"/>
        <v>0</v>
      </c>
      <c r="AU153" s="157">
        <f t="shared" si="446"/>
        <v>0</v>
      </c>
      <c r="AV153" s="57">
        <f t="shared" si="447"/>
        <v>0</v>
      </c>
      <c r="AW153" s="57">
        <f t="shared" si="448"/>
        <v>0</v>
      </c>
      <c r="AX153" s="57">
        <f t="shared" si="449"/>
        <v>0</v>
      </c>
      <c r="AY153" s="57">
        <f t="shared" si="450"/>
        <v>0</v>
      </c>
      <c r="AZ153" s="57">
        <f t="shared" si="451"/>
        <v>0</v>
      </c>
      <c r="BA153" s="57">
        <f t="shared" si="452"/>
        <v>0</v>
      </c>
      <c r="BB153" s="57">
        <f t="shared" si="453"/>
        <v>0</v>
      </c>
      <c r="BC153" s="157">
        <f t="shared" si="454"/>
        <v>0</v>
      </c>
      <c r="BD153" s="57">
        <f t="shared" si="455"/>
        <v>0</v>
      </c>
      <c r="BE153" s="57">
        <f t="shared" si="456"/>
        <v>0</v>
      </c>
      <c r="BF153" s="57">
        <f t="shared" si="457"/>
        <v>0</v>
      </c>
      <c r="BG153" s="57">
        <f t="shared" si="458"/>
        <v>0</v>
      </c>
      <c r="BH153" s="57">
        <f t="shared" si="459"/>
        <v>0</v>
      </c>
      <c r="BI153" s="57">
        <f t="shared" si="460"/>
        <v>0</v>
      </c>
      <c r="BJ153" s="57">
        <f t="shared" si="461"/>
        <v>0</v>
      </c>
      <c r="BK153" s="157">
        <f t="shared" si="462"/>
        <v>0</v>
      </c>
      <c r="BL153" s="57">
        <f t="shared" si="463"/>
        <v>0</v>
      </c>
      <c r="BM153" s="57">
        <f t="shared" si="464"/>
        <v>0</v>
      </c>
      <c r="BN153" s="57">
        <f t="shared" si="465"/>
        <v>0</v>
      </c>
      <c r="BO153" s="57">
        <f t="shared" si="466"/>
        <v>0</v>
      </c>
      <c r="BP153" s="57">
        <f t="shared" si="467"/>
        <v>0</v>
      </c>
      <c r="BQ153" s="57">
        <f t="shared" si="468"/>
        <v>0</v>
      </c>
      <c r="BR153" s="57">
        <f t="shared" si="469"/>
        <v>0</v>
      </c>
      <c r="BS153" s="157">
        <f t="shared" si="470"/>
        <v>0</v>
      </c>
      <c r="BT153" s="157">
        <f t="shared" si="344"/>
        <v>0</v>
      </c>
      <c r="BU153" s="157">
        <f t="shared" si="345"/>
        <v>0</v>
      </c>
      <c r="BV153" s="144"/>
      <c r="BW153" s="158">
        <f t="shared" si="509"/>
        <v>0</v>
      </c>
      <c r="BX153" s="159">
        <f t="shared" si="510"/>
        <v>0</v>
      </c>
      <c r="BY153" s="159">
        <f t="shared" si="511"/>
        <v>0</v>
      </c>
      <c r="BZ153" s="159">
        <f t="shared" si="512"/>
        <v>0</v>
      </c>
      <c r="CA153" s="158">
        <f t="shared" si="475"/>
        <v>0</v>
      </c>
      <c r="CB153" s="157">
        <f t="shared" si="476"/>
        <v>0</v>
      </c>
      <c r="CC153" s="144"/>
      <c r="CD153" s="158">
        <f t="shared" si="513"/>
        <v>0</v>
      </c>
      <c r="CE153" s="159">
        <f t="shared" si="514"/>
        <v>0</v>
      </c>
      <c r="CF153" s="159">
        <f t="shared" si="515"/>
        <v>0</v>
      </c>
      <c r="CG153" s="159">
        <f t="shared" si="503"/>
        <v>0</v>
      </c>
      <c r="CH153" s="158">
        <f t="shared" si="504"/>
        <v>0</v>
      </c>
      <c r="CI153" s="157">
        <f t="shared" si="481"/>
        <v>0</v>
      </c>
      <c r="CK153" s="61">
        <f t="shared" si="482"/>
        <v>0</v>
      </c>
      <c r="CL153" s="62">
        <f t="shared" si="483"/>
        <v>0</v>
      </c>
      <c r="CM153" s="63">
        <f t="shared" si="484"/>
        <v>0</v>
      </c>
      <c r="CN153" s="61">
        <f t="shared" si="485"/>
        <v>0</v>
      </c>
      <c r="CO153" s="29"/>
      <c r="CP153" s="61">
        <f t="shared" si="516"/>
        <v>0</v>
      </c>
      <c r="CQ153" s="62">
        <f t="shared" si="517"/>
        <v>0</v>
      </c>
      <c r="CR153" s="63">
        <f t="shared" si="518"/>
        <v>0</v>
      </c>
      <c r="CS153" s="61">
        <f t="shared" si="519"/>
        <v>0</v>
      </c>
      <c r="CU153" s="60">
        <f t="shared" si="492"/>
        <v>0</v>
      </c>
      <c r="CV153" s="132">
        <f t="shared" si="493"/>
        <v>0</v>
      </c>
      <c r="CW153" s="132">
        <f t="shared" si="494"/>
        <v>0</v>
      </c>
      <c r="CX153" s="131">
        <f t="shared" si="495"/>
        <v>0</v>
      </c>
    </row>
    <row r="154" spans="1:102">
      <c r="A154" s="214">
        <v>513</v>
      </c>
      <c r="B154" s="214" t="s">
        <v>6</v>
      </c>
      <c r="C154" s="215" t="s">
        <v>185</v>
      </c>
      <c r="D154" s="216">
        <v>1</v>
      </c>
      <c r="E154" s="57">
        <f>VLOOKUP(A154,AuxOPEXSaneparOriginal!$B$4:$F$177,3,0)</f>
        <v>0</v>
      </c>
      <c r="F154" s="156">
        <f>VLOOKUP(A154,AuxOPEXSaneparOriginal!$B$4:$F$177,4,0)</f>
        <v>0</v>
      </c>
      <c r="G154" s="57">
        <f>VLOOKUP(A154,AuxOPEXSaneparOriginal!$B$4:$K$177,8,0)</f>
        <v>0</v>
      </c>
      <c r="H154" s="156">
        <f>VLOOKUP(A154,AuxOPEXSaneparOriginal!$B$4:$K$177,9,0)</f>
        <v>0</v>
      </c>
      <c r="I154" s="57">
        <f>VLOOKUP(A154,AuxOPEXSaneparOriginal!$B$4:$N$177,13,0)</f>
        <v>0</v>
      </c>
      <c r="J154" s="57">
        <f>VLOOKUP(A154,AuxOPEXSaneparOriginal!$B$4:$Q$177,16,0)</f>
        <v>0</v>
      </c>
      <c r="K154" s="57">
        <f>VLOOKUP(A154,AuxOPEXSaneparOriginal!$B$4:$V$177,21,0)</f>
        <v>0</v>
      </c>
      <c r="L154" s="157">
        <f t="shared" si="505"/>
        <v>0</v>
      </c>
      <c r="M154" s="19">
        <f>VLOOKUP(A154,AuxOPEXSaneparOriginal!$B$4:$AB$177,27,0)</f>
        <v>0</v>
      </c>
      <c r="N154" s="156">
        <f>VLOOKUP(A154,AuxOPEXSaneparOriginal!$B$4:$AC$177,28,0)</f>
        <v>0</v>
      </c>
      <c r="O154" s="156">
        <f>VLOOKUP(A154,AuxOPEXSaneparOriginal!$B$4:$AD$177,29,0)</f>
        <v>0</v>
      </c>
      <c r="P154" s="156">
        <f>VLOOKUP(A154,AuxOPEXSaneparOriginal!$B$4:$AE$177,30,0)</f>
        <v>0</v>
      </c>
      <c r="Q154" s="146">
        <f>VLOOKUP(A154,AuxOPEXSaneparOriginal!$B$4:$AF$177,31,0)</f>
        <v>0</v>
      </c>
      <c r="R154" s="146">
        <f>VLOOKUP(A154,AuxOPEXSaneparOriginal!$B$4:$AG$177,32,0)</f>
        <v>0</v>
      </c>
      <c r="S154" s="146">
        <f>VLOOKUP(A154,AuxOPEXSaneparOriginal!$B$4:$AH$177,33,0)</f>
        <v>0</v>
      </c>
      <c r="T154" s="157">
        <f t="shared" si="506"/>
        <v>0</v>
      </c>
      <c r="U154" s="156">
        <f>VLOOKUP(A154,AuxOPEXSaneparOriginal!$B$4:$AI$177,34,0)</f>
        <v>0</v>
      </c>
      <c r="V154" s="156">
        <f>VLOOKUP(A154,AuxOPEXSaneparOriginal!$B$4:$AJ$177,35,0)</f>
        <v>0</v>
      </c>
      <c r="W154" s="156">
        <f>VLOOKUP(A154,AuxOPEXSaneparOriginal!$B$4:$AK$177,36,0)</f>
        <v>0</v>
      </c>
      <c r="X154" s="19">
        <f>+VLOOKUP(A154,AuxOPEXSaneparOriginal!$B$4:$AL$177,37,0)</f>
        <v>0</v>
      </c>
      <c r="Y154" s="146">
        <f>VLOOKUP(A154,AuxOPEXSaneparOriginal!$B$4:$AM$177,38,0)</f>
        <v>0</v>
      </c>
      <c r="Z154" s="146">
        <f>VLOOKUP(A154,AuxOPEXSaneparOriginal!$B$4:$AN$177,39,0)</f>
        <v>1288010.6000000001</v>
      </c>
      <c r="AA154" s="146">
        <f>VLOOKUP(A154,AuxOPEXSaneparOriginal!$B$4:$AO$177,40,0)</f>
        <v>0</v>
      </c>
      <c r="AB154" s="157">
        <f t="shared" si="507"/>
        <v>1288010.6000000001</v>
      </c>
      <c r="AC154" s="156">
        <f>VLOOKUP(A154,AuxOPEXSaneparOriginal!$B$4:$AP$177,41,0)</f>
        <v>0</v>
      </c>
      <c r="AD154" s="156">
        <f>+VLOOKUP(A154,AuxOPEXSaneparOriginal!$B$4:$AQ$177,42,0)</f>
        <v>0</v>
      </c>
      <c r="AE154" s="156">
        <f>VLOOKUP(A154,AuxOPEXSaneparOriginal!$B$4:$AR$177,43,0)</f>
        <v>0</v>
      </c>
      <c r="AF154" s="156">
        <f>+VLOOKUP(A154,AuxOPEXSaneparOriginal!$B$4:$AS$177,44,0)</f>
        <v>0</v>
      </c>
      <c r="AG154" s="146">
        <f>VLOOKUP(A154,AuxOPEXSaneparOriginal!$B$4:$AT$177,45,0)</f>
        <v>0</v>
      </c>
      <c r="AH154" s="146">
        <f>VLOOKUP(A154,AuxOPEXSaneparOriginal!$B$4:$AU$177,46,0)</f>
        <v>1444009.71</v>
      </c>
      <c r="AI154" s="146">
        <f>VLOOKUP(A154,AuxOPEXSaneparOriginal!$B$4:$AV$177,47,0)</f>
        <v>0</v>
      </c>
      <c r="AJ154" s="157">
        <f t="shared" si="508"/>
        <v>1444009.71</v>
      </c>
      <c r="AK154" s="157">
        <f t="shared" si="490"/>
        <v>683005.07750000001</v>
      </c>
      <c r="AL154" s="157">
        <f t="shared" si="491"/>
        <v>1366010.155</v>
      </c>
      <c r="AM154" s="144"/>
      <c r="AN154" s="167">
        <f t="shared" si="496"/>
        <v>0</v>
      </c>
      <c r="AO154" s="168">
        <f t="shared" si="497"/>
        <v>0</v>
      </c>
      <c r="AP154" s="57">
        <f t="shared" si="498"/>
        <v>0</v>
      </c>
      <c r="AQ154" s="57">
        <f t="shared" si="499"/>
        <v>0</v>
      </c>
      <c r="AR154" s="57">
        <f t="shared" si="500"/>
        <v>0</v>
      </c>
      <c r="AS154" s="57">
        <f t="shared" si="501"/>
        <v>0</v>
      </c>
      <c r="AT154" s="57">
        <f t="shared" si="502"/>
        <v>0</v>
      </c>
      <c r="AU154" s="157">
        <f t="shared" si="446"/>
        <v>0</v>
      </c>
      <c r="AV154" s="57">
        <f t="shared" si="447"/>
        <v>0</v>
      </c>
      <c r="AW154" s="57">
        <f t="shared" si="448"/>
        <v>0</v>
      </c>
      <c r="AX154" s="57">
        <f t="shared" si="449"/>
        <v>0</v>
      </c>
      <c r="AY154" s="57">
        <f t="shared" si="450"/>
        <v>0</v>
      </c>
      <c r="AZ154" s="57">
        <f t="shared" si="451"/>
        <v>0</v>
      </c>
      <c r="BA154" s="57">
        <f t="shared" si="452"/>
        <v>0</v>
      </c>
      <c r="BB154" s="57">
        <f t="shared" si="453"/>
        <v>0</v>
      </c>
      <c r="BC154" s="157">
        <f t="shared" si="454"/>
        <v>0</v>
      </c>
      <c r="BD154" s="57">
        <f t="shared" si="455"/>
        <v>0</v>
      </c>
      <c r="BE154" s="57">
        <f t="shared" si="456"/>
        <v>0</v>
      </c>
      <c r="BF154" s="57">
        <f t="shared" si="457"/>
        <v>0</v>
      </c>
      <c r="BG154" s="57">
        <f t="shared" si="458"/>
        <v>0</v>
      </c>
      <c r="BH154" s="57">
        <f t="shared" si="459"/>
        <v>0</v>
      </c>
      <c r="BI154" s="57">
        <f t="shared" si="460"/>
        <v>0</v>
      </c>
      <c r="BJ154" s="57">
        <f t="shared" si="461"/>
        <v>0</v>
      </c>
      <c r="BK154" s="157">
        <f t="shared" si="462"/>
        <v>0</v>
      </c>
      <c r="BL154" s="57">
        <f t="shared" si="463"/>
        <v>0</v>
      </c>
      <c r="BM154" s="57">
        <f t="shared" si="464"/>
        <v>0</v>
      </c>
      <c r="BN154" s="57">
        <f t="shared" si="465"/>
        <v>0</v>
      </c>
      <c r="BO154" s="57">
        <f t="shared" si="466"/>
        <v>0</v>
      </c>
      <c r="BP154" s="57">
        <f t="shared" si="467"/>
        <v>0</v>
      </c>
      <c r="BQ154" s="57">
        <f t="shared" si="468"/>
        <v>0</v>
      </c>
      <c r="BR154" s="57">
        <f t="shared" si="469"/>
        <v>0</v>
      </c>
      <c r="BS154" s="157">
        <f t="shared" si="470"/>
        <v>0</v>
      </c>
      <c r="BT154" s="157">
        <f t="shared" si="344"/>
        <v>0</v>
      </c>
      <c r="BU154" s="157">
        <f t="shared" si="345"/>
        <v>0</v>
      </c>
      <c r="BV154" s="144"/>
      <c r="BW154" s="158">
        <f t="shared" si="509"/>
        <v>0</v>
      </c>
      <c r="BX154" s="159">
        <f t="shared" si="510"/>
        <v>0</v>
      </c>
      <c r="BY154" s="159">
        <f t="shared" si="511"/>
        <v>0</v>
      </c>
      <c r="BZ154" s="159">
        <f t="shared" si="512"/>
        <v>0</v>
      </c>
      <c r="CA154" s="158">
        <f t="shared" si="475"/>
        <v>0</v>
      </c>
      <c r="CB154" s="157">
        <f t="shared" si="476"/>
        <v>0</v>
      </c>
      <c r="CC154" s="144"/>
      <c r="CD154" s="158">
        <f t="shared" si="513"/>
        <v>0</v>
      </c>
      <c r="CE154" s="159">
        <f t="shared" si="514"/>
        <v>0</v>
      </c>
      <c r="CF154" s="159">
        <f t="shared" si="515"/>
        <v>0</v>
      </c>
      <c r="CG154" s="159">
        <f t="shared" si="503"/>
        <v>0</v>
      </c>
      <c r="CH154" s="158">
        <f t="shared" si="504"/>
        <v>0</v>
      </c>
      <c r="CI154" s="157">
        <f t="shared" si="481"/>
        <v>0</v>
      </c>
      <c r="CK154" s="61">
        <f t="shared" si="482"/>
        <v>0</v>
      </c>
      <c r="CL154" s="62">
        <f t="shared" si="483"/>
        <v>0</v>
      </c>
      <c r="CM154" s="63">
        <f t="shared" si="484"/>
        <v>0</v>
      </c>
      <c r="CN154" s="61">
        <f t="shared" si="485"/>
        <v>0</v>
      </c>
      <c r="CO154" s="29"/>
      <c r="CP154" s="61">
        <f t="shared" si="516"/>
        <v>0</v>
      </c>
      <c r="CQ154" s="62">
        <f t="shared" si="517"/>
        <v>0</v>
      </c>
      <c r="CR154" s="63">
        <f t="shared" si="518"/>
        <v>0</v>
      </c>
      <c r="CS154" s="61">
        <f t="shared" si="519"/>
        <v>0</v>
      </c>
      <c r="CU154" s="60">
        <f t="shared" si="492"/>
        <v>0</v>
      </c>
      <c r="CV154" s="132">
        <f t="shared" si="493"/>
        <v>0</v>
      </c>
      <c r="CW154" s="132">
        <f t="shared" si="494"/>
        <v>0</v>
      </c>
      <c r="CX154" s="131">
        <f t="shared" si="495"/>
        <v>0</v>
      </c>
    </row>
    <row r="155" spans="1:102">
      <c r="A155" s="214">
        <v>921</v>
      </c>
      <c r="B155" s="214" t="s">
        <v>6</v>
      </c>
      <c r="C155" s="215" t="s">
        <v>186</v>
      </c>
      <c r="D155" s="216">
        <v>1</v>
      </c>
      <c r="E155" s="57">
        <f>VLOOKUP(A155,AuxOPEXSaneparOriginal!$B$4:$F$177,3,0)</f>
        <v>0</v>
      </c>
      <c r="F155" s="156">
        <f>VLOOKUP(A155,AuxOPEXSaneparOriginal!$B$4:$F$177,4,0)</f>
        <v>0</v>
      </c>
      <c r="G155" s="57">
        <f>VLOOKUP(A155,AuxOPEXSaneparOriginal!$B$4:$K$177,8,0)</f>
        <v>0</v>
      </c>
      <c r="H155" s="156">
        <f>VLOOKUP(A155,AuxOPEXSaneparOriginal!$B$4:$K$177,9,0)</f>
        <v>0</v>
      </c>
      <c r="I155" s="57">
        <f>VLOOKUP(A155,AuxOPEXSaneparOriginal!$B$4:$N$177,13,0)</f>
        <v>0</v>
      </c>
      <c r="J155" s="57">
        <f>VLOOKUP(A155,AuxOPEXSaneparOriginal!$B$4:$Q$177,16,0)</f>
        <v>0</v>
      </c>
      <c r="K155" s="57">
        <f>VLOOKUP(A155,AuxOPEXSaneparOriginal!$B$4:$V$177,21,0)</f>
        <v>5281701.3900000006</v>
      </c>
      <c r="L155" s="157">
        <f t="shared" si="505"/>
        <v>5281701.3900000006</v>
      </c>
      <c r="M155" s="19">
        <f>VLOOKUP(A155,AuxOPEXSaneparOriginal!$B$4:$AB$177,27,0)</f>
        <v>0</v>
      </c>
      <c r="N155" s="156">
        <f>VLOOKUP(A155,AuxOPEXSaneparOriginal!$B$4:$AC$177,28,0)</f>
        <v>0</v>
      </c>
      <c r="O155" s="156">
        <f>VLOOKUP(A155,AuxOPEXSaneparOriginal!$B$4:$AD$177,29,0)</f>
        <v>0</v>
      </c>
      <c r="P155" s="156">
        <f>VLOOKUP(A155,AuxOPEXSaneparOriginal!$B$4:$AE$177,30,0)</f>
        <v>0</v>
      </c>
      <c r="Q155" s="146">
        <f>VLOOKUP(A155,AuxOPEXSaneparOriginal!$B$4:$AF$177,31,0)</f>
        <v>0</v>
      </c>
      <c r="R155" s="146">
        <f>VLOOKUP(A155,AuxOPEXSaneparOriginal!$B$4:$AG$177,32,0)</f>
        <v>0</v>
      </c>
      <c r="S155" s="146">
        <f>VLOOKUP(A155,AuxOPEXSaneparOriginal!$B$4:$AH$177,33,0)</f>
        <v>68752.44</v>
      </c>
      <c r="T155" s="157">
        <f t="shared" si="506"/>
        <v>68752.44</v>
      </c>
      <c r="U155" s="156">
        <f>VLOOKUP(A155,AuxOPEXSaneparOriginal!$B$4:$AI$177,34,0)</f>
        <v>0</v>
      </c>
      <c r="V155" s="156">
        <f>VLOOKUP(A155,AuxOPEXSaneparOriginal!$B$4:$AJ$177,35,0)</f>
        <v>0</v>
      </c>
      <c r="W155" s="156">
        <f>VLOOKUP(A155,AuxOPEXSaneparOriginal!$B$4:$AK$177,36,0)</f>
        <v>0</v>
      </c>
      <c r="X155" s="19">
        <f>+VLOOKUP(A155,AuxOPEXSaneparOriginal!$B$4:$AL$177,37,0)</f>
        <v>0</v>
      </c>
      <c r="Y155" s="146">
        <f>VLOOKUP(A155,AuxOPEXSaneparOriginal!$B$4:$AM$177,38,0)</f>
        <v>0</v>
      </c>
      <c r="Z155" s="146">
        <f>VLOOKUP(A155,AuxOPEXSaneparOriginal!$B$4:$AN$177,39,0)</f>
        <v>0</v>
      </c>
      <c r="AA155" s="146">
        <f>VLOOKUP(A155,AuxOPEXSaneparOriginal!$B$4:$AO$177,40,0)</f>
        <v>2173085.3500000029</v>
      </c>
      <c r="AB155" s="157">
        <f t="shared" si="507"/>
        <v>2173085.3500000029</v>
      </c>
      <c r="AC155" s="156">
        <f>VLOOKUP(A155,AuxOPEXSaneparOriginal!$B$4:$AP$177,41,0)</f>
        <v>0</v>
      </c>
      <c r="AD155" s="156">
        <f>+VLOOKUP(A155,AuxOPEXSaneparOriginal!$B$4:$AQ$177,42,0)</f>
        <v>0</v>
      </c>
      <c r="AE155" s="156">
        <f>VLOOKUP(A155,AuxOPEXSaneparOriginal!$B$4:$AR$177,43,0)</f>
        <v>0</v>
      </c>
      <c r="AF155" s="156">
        <f>+VLOOKUP(A155,AuxOPEXSaneparOriginal!$B$4:$AS$177,44,0)</f>
        <v>0</v>
      </c>
      <c r="AG155" s="146">
        <f>VLOOKUP(A155,AuxOPEXSaneparOriginal!$B$4:$AT$177,45,0)</f>
        <v>0</v>
      </c>
      <c r="AH155" s="146">
        <f>VLOOKUP(A155,AuxOPEXSaneparOriginal!$B$4:$AU$177,46,0)</f>
        <v>0</v>
      </c>
      <c r="AI155" s="146">
        <f>VLOOKUP(A155,AuxOPEXSaneparOriginal!$B$4:$AV$177,47,0)</f>
        <v>-11725145.549999997</v>
      </c>
      <c r="AJ155" s="157">
        <f t="shared" si="508"/>
        <v>-11725145.549999997</v>
      </c>
      <c r="AK155" s="157">
        <f t="shared" si="490"/>
        <v>-1050401.5924999984</v>
      </c>
      <c r="AL155" s="157">
        <f t="shared" si="491"/>
        <v>-4776030.0999999968</v>
      </c>
      <c r="AM155" s="144"/>
      <c r="AN155" s="167">
        <f t="shared" si="496"/>
        <v>0</v>
      </c>
      <c r="AO155" s="168">
        <f t="shared" si="497"/>
        <v>0</v>
      </c>
      <c r="AP155" s="57">
        <f t="shared" si="498"/>
        <v>0</v>
      </c>
      <c r="AQ155" s="57">
        <f t="shared" si="499"/>
        <v>0</v>
      </c>
      <c r="AR155" s="57">
        <f t="shared" si="500"/>
        <v>0</v>
      </c>
      <c r="AS155" s="57">
        <f t="shared" si="501"/>
        <v>0</v>
      </c>
      <c r="AT155" s="57">
        <f t="shared" si="502"/>
        <v>0</v>
      </c>
      <c r="AU155" s="157">
        <f t="shared" si="446"/>
        <v>0</v>
      </c>
      <c r="AV155" s="57">
        <f t="shared" si="447"/>
        <v>0</v>
      </c>
      <c r="AW155" s="57">
        <f t="shared" si="448"/>
        <v>0</v>
      </c>
      <c r="AX155" s="57">
        <f t="shared" si="449"/>
        <v>0</v>
      </c>
      <c r="AY155" s="57">
        <f t="shared" si="450"/>
        <v>0</v>
      </c>
      <c r="AZ155" s="57">
        <f t="shared" si="451"/>
        <v>0</v>
      </c>
      <c r="BA155" s="57">
        <f t="shared" si="452"/>
        <v>0</v>
      </c>
      <c r="BB155" s="57">
        <f t="shared" si="453"/>
        <v>0</v>
      </c>
      <c r="BC155" s="157">
        <f t="shared" si="454"/>
        <v>0</v>
      </c>
      <c r="BD155" s="57">
        <f t="shared" si="455"/>
        <v>0</v>
      </c>
      <c r="BE155" s="57">
        <f t="shared" si="456"/>
        <v>0</v>
      </c>
      <c r="BF155" s="57">
        <f t="shared" si="457"/>
        <v>0</v>
      </c>
      <c r="BG155" s="57">
        <f t="shared" si="458"/>
        <v>0</v>
      </c>
      <c r="BH155" s="57">
        <f t="shared" si="459"/>
        <v>0</v>
      </c>
      <c r="BI155" s="57">
        <f t="shared" si="460"/>
        <v>0</v>
      </c>
      <c r="BJ155" s="57">
        <f t="shared" si="461"/>
        <v>0</v>
      </c>
      <c r="BK155" s="157">
        <f t="shared" si="462"/>
        <v>0</v>
      </c>
      <c r="BL155" s="57">
        <f t="shared" si="463"/>
        <v>0</v>
      </c>
      <c r="BM155" s="57">
        <f t="shared" si="464"/>
        <v>0</v>
      </c>
      <c r="BN155" s="57">
        <f t="shared" si="465"/>
        <v>0</v>
      </c>
      <c r="BO155" s="57">
        <f t="shared" si="466"/>
        <v>0</v>
      </c>
      <c r="BP155" s="57">
        <f t="shared" si="467"/>
        <v>0</v>
      </c>
      <c r="BQ155" s="57">
        <f t="shared" si="468"/>
        <v>0</v>
      </c>
      <c r="BR155" s="57">
        <f t="shared" si="469"/>
        <v>0</v>
      </c>
      <c r="BS155" s="157">
        <f t="shared" si="470"/>
        <v>0</v>
      </c>
      <c r="BT155" s="157">
        <f t="shared" si="344"/>
        <v>0</v>
      </c>
      <c r="BU155" s="157">
        <f t="shared" si="345"/>
        <v>0</v>
      </c>
      <c r="BV155" s="144"/>
      <c r="BW155" s="158">
        <f t="shared" si="509"/>
        <v>0</v>
      </c>
      <c r="BX155" s="159">
        <f t="shared" si="510"/>
        <v>0</v>
      </c>
      <c r="BY155" s="159">
        <f t="shared" si="511"/>
        <v>0</v>
      </c>
      <c r="BZ155" s="159">
        <f t="shared" si="512"/>
        <v>0</v>
      </c>
      <c r="CA155" s="158">
        <f t="shared" si="475"/>
        <v>0</v>
      </c>
      <c r="CB155" s="157">
        <f t="shared" si="476"/>
        <v>0</v>
      </c>
      <c r="CC155" s="144"/>
      <c r="CD155" s="158">
        <f t="shared" si="513"/>
        <v>0</v>
      </c>
      <c r="CE155" s="159">
        <f t="shared" si="514"/>
        <v>0</v>
      </c>
      <c r="CF155" s="159">
        <f t="shared" si="515"/>
        <v>0</v>
      </c>
      <c r="CG155" s="159">
        <f t="shared" si="503"/>
        <v>0</v>
      </c>
      <c r="CH155" s="158">
        <f t="shared" si="504"/>
        <v>0</v>
      </c>
      <c r="CI155" s="157">
        <f t="shared" si="481"/>
        <v>0</v>
      </c>
      <c r="CK155" s="61">
        <f t="shared" si="482"/>
        <v>0</v>
      </c>
      <c r="CL155" s="62">
        <f t="shared" si="483"/>
        <v>0</v>
      </c>
      <c r="CM155" s="63">
        <f t="shared" si="484"/>
        <v>0</v>
      </c>
      <c r="CN155" s="61">
        <f t="shared" si="485"/>
        <v>0</v>
      </c>
      <c r="CO155" s="29"/>
      <c r="CP155" s="61">
        <f t="shared" si="516"/>
        <v>0</v>
      </c>
      <c r="CQ155" s="62">
        <f t="shared" si="517"/>
        <v>0</v>
      </c>
      <c r="CR155" s="63">
        <f t="shared" si="518"/>
        <v>0</v>
      </c>
      <c r="CS155" s="61">
        <f t="shared" si="519"/>
        <v>0</v>
      </c>
      <c r="CU155" s="60">
        <f t="shared" si="492"/>
        <v>0</v>
      </c>
      <c r="CV155" s="132">
        <f t="shared" si="493"/>
        <v>0</v>
      </c>
      <c r="CW155" s="132">
        <f t="shared" si="494"/>
        <v>0</v>
      </c>
      <c r="CX155" s="131">
        <f t="shared" si="495"/>
        <v>0</v>
      </c>
    </row>
    <row r="156" spans="1:102">
      <c r="A156" s="214">
        <v>922</v>
      </c>
      <c r="B156" s="214" t="s">
        <v>6</v>
      </c>
      <c r="C156" s="215" t="s">
        <v>187</v>
      </c>
      <c r="D156" s="216">
        <v>1</v>
      </c>
      <c r="E156" s="57">
        <f>VLOOKUP(A156,AuxOPEXSaneparOriginal!$B$4:$F$177,3,0)</f>
        <v>0</v>
      </c>
      <c r="F156" s="156">
        <f>VLOOKUP(A156,AuxOPEXSaneparOriginal!$B$4:$F$177,4,0)</f>
        <v>0</v>
      </c>
      <c r="G156" s="57">
        <f>VLOOKUP(A156,AuxOPEXSaneparOriginal!$B$4:$K$177,8,0)</f>
        <v>0</v>
      </c>
      <c r="H156" s="156">
        <f>VLOOKUP(A156,AuxOPEXSaneparOriginal!$B$4:$K$177,9,0)</f>
        <v>0</v>
      </c>
      <c r="I156" s="57">
        <f>VLOOKUP(A156,AuxOPEXSaneparOriginal!$B$4:$N$177,13,0)</f>
        <v>0</v>
      </c>
      <c r="J156" s="57">
        <f>VLOOKUP(A156,AuxOPEXSaneparOriginal!$B$4:$Q$177,16,0)</f>
        <v>0</v>
      </c>
      <c r="K156" s="57">
        <f>VLOOKUP(A156,AuxOPEXSaneparOriginal!$B$4:$V$177,21,0)</f>
        <v>66711742.570000038</v>
      </c>
      <c r="L156" s="157">
        <f t="shared" si="505"/>
        <v>66711742.570000038</v>
      </c>
      <c r="M156" s="19">
        <f>VLOOKUP(A156,AuxOPEXSaneparOriginal!$B$4:$AB$177,27,0)</f>
        <v>0</v>
      </c>
      <c r="N156" s="156">
        <f>VLOOKUP(A156,AuxOPEXSaneparOriginal!$B$4:$AC$177,28,0)</f>
        <v>0</v>
      </c>
      <c r="O156" s="156">
        <f>VLOOKUP(A156,AuxOPEXSaneparOriginal!$B$4:$AD$177,29,0)</f>
        <v>0</v>
      </c>
      <c r="P156" s="156">
        <f>VLOOKUP(A156,AuxOPEXSaneparOriginal!$B$4:$AE$177,30,0)</f>
        <v>0</v>
      </c>
      <c r="Q156" s="146">
        <f>VLOOKUP(A156,AuxOPEXSaneparOriginal!$B$4:$AF$177,31,0)</f>
        <v>0</v>
      </c>
      <c r="R156" s="146">
        <f>VLOOKUP(A156,AuxOPEXSaneparOriginal!$B$4:$AG$177,32,0)</f>
        <v>0</v>
      </c>
      <c r="S156" s="146">
        <f>VLOOKUP(A156,AuxOPEXSaneparOriginal!$B$4:$AH$177,33,0)</f>
        <v>-20497552.890000004</v>
      </c>
      <c r="T156" s="157">
        <f t="shared" si="506"/>
        <v>-20497552.890000004</v>
      </c>
      <c r="U156" s="156">
        <f>VLOOKUP(A156,AuxOPEXSaneparOriginal!$B$4:$AI$177,34,0)</f>
        <v>0</v>
      </c>
      <c r="V156" s="156">
        <f>VLOOKUP(A156,AuxOPEXSaneparOriginal!$B$4:$AJ$177,35,0)</f>
        <v>0</v>
      </c>
      <c r="W156" s="156">
        <f>VLOOKUP(A156,AuxOPEXSaneparOriginal!$B$4:$AK$177,36,0)</f>
        <v>0</v>
      </c>
      <c r="X156" s="19">
        <f>+VLOOKUP(A156,AuxOPEXSaneparOriginal!$B$4:$AL$177,37,0)</f>
        <v>0</v>
      </c>
      <c r="Y156" s="146">
        <f>VLOOKUP(A156,AuxOPEXSaneparOriginal!$B$4:$AM$177,38,0)</f>
        <v>0</v>
      </c>
      <c r="Z156" s="146">
        <f>VLOOKUP(A156,AuxOPEXSaneparOriginal!$B$4:$AN$177,39,0)</f>
        <v>0</v>
      </c>
      <c r="AA156" s="146">
        <f>VLOOKUP(A156,AuxOPEXSaneparOriginal!$B$4:$AO$177,40,0)</f>
        <v>71903890.329999983</v>
      </c>
      <c r="AB156" s="157">
        <f t="shared" si="507"/>
        <v>71903890.329999983</v>
      </c>
      <c r="AC156" s="156">
        <f>VLOOKUP(A156,AuxOPEXSaneparOriginal!$B$4:$AP$177,41,0)</f>
        <v>0</v>
      </c>
      <c r="AD156" s="156">
        <f>+VLOOKUP(A156,AuxOPEXSaneparOriginal!$B$4:$AQ$177,42,0)</f>
        <v>0</v>
      </c>
      <c r="AE156" s="156">
        <f>VLOOKUP(A156,AuxOPEXSaneparOriginal!$B$4:$AR$177,43,0)</f>
        <v>0</v>
      </c>
      <c r="AF156" s="156">
        <f>+VLOOKUP(A156,AuxOPEXSaneparOriginal!$B$4:$AS$177,44,0)</f>
        <v>0</v>
      </c>
      <c r="AG156" s="146">
        <f>VLOOKUP(A156,AuxOPEXSaneparOriginal!$B$4:$AT$177,45,0)</f>
        <v>0</v>
      </c>
      <c r="AH156" s="146">
        <f>VLOOKUP(A156,AuxOPEXSaneparOriginal!$B$4:$AU$177,46,0)</f>
        <v>0</v>
      </c>
      <c r="AI156" s="146">
        <f>VLOOKUP(A156,AuxOPEXSaneparOriginal!$B$4:$AV$177,47,0)</f>
        <v>16603136.250000002</v>
      </c>
      <c r="AJ156" s="157">
        <f t="shared" si="508"/>
        <v>16603136.250000002</v>
      </c>
      <c r="AK156" s="157">
        <f t="shared" si="490"/>
        <v>33680304.065000005</v>
      </c>
      <c r="AL156" s="157">
        <f t="shared" si="491"/>
        <v>44253513.289999992</v>
      </c>
      <c r="AM156" s="144"/>
      <c r="AN156" s="167">
        <f t="shared" si="496"/>
        <v>0</v>
      </c>
      <c r="AO156" s="168">
        <f t="shared" si="497"/>
        <v>0</v>
      </c>
      <c r="AP156" s="57">
        <f t="shared" si="498"/>
        <v>0</v>
      </c>
      <c r="AQ156" s="57">
        <f t="shared" si="499"/>
        <v>0</v>
      </c>
      <c r="AR156" s="57">
        <f t="shared" si="500"/>
        <v>0</v>
      </c>
      <c r="AS156" s="57">
        <f t="shared" si="501"/>
        <v>0</v>
      </c>
      <c r="AT156" s="57">
        <f t="shared" si="502"/>
        <v>0</v>
      </c>
      <c r="AU156" s="157">
        <f t="shared" si="446"/>
        <v>0</v>
      </c>
      <c r="AV156" s="57">
        <f t="shared" si="447"/>
        <v>0</v>
      </c>
      <c r="AW156" s="57">
        <f t="shared" si="448"/>
        <v>0</v>
      </c>
      <c r="AX156" s="57">
        <f t="shared" si="449"/>
        <v>0</v>
      </c>
      <c r="AY156" s="57">
        <f t="shared" si="450"/>
        <v>0</v>
      </c>
      <c r="AZ156" s="57">
        <f t="shared" si="451"/>
        <v>0</v>
      </c>
      <c r="BA156" s="57">
        <f t="shared" si="452"/>
        <v>0</v>
      </c>
      <c r="BB156" s="57">
        <f t="shared" si="453"/>
        <v>0</v>
      </c>
      <c r="BC156" s="157">
        <f t="shared" si="454"/>
        <v>0</v>
      </c>
      <c r="BD156" s="57">
        <f t="shared" si="455"/>
        <v>0</v>
      </c>
      <c r="BE156" s="57">
        <f t="shared" si="456"/>
        <v>0</v>
      </c>
      <c r="BF156" s="57">
        <f t="shared" si="457"/>
        <v>0</v>
      </c>
      <c r="BG156" s="57">
        <f t="shared" si="458"/>
        <v>0</v>
      </c>
      <c r="BH156" s="57">
        <f t="shared" si="459"/>
        <v>0</v>
      </c>
      <c r="BI156" s="57">
        <f t="shared" si="460"/>
        <v>0</v>
      </c>
      <c r="BJ156" s="57">
        <f t="shared" si="461"/>
        <v>0</v>
      </c>
      <c r="BK156" s="157">
        <f t="shared" si="462"/>
        <v>0</v>
      </c>
      <c r="BL156" s="57">
        <f t="shared" si="463"/>
        <v>0</v>
      </c>
      <c r="BM156" s="57">
        <f t="shared" si="464"/>
        <v>0</v>
      </c>
      <c r="BN156" s="57">
        <f t="shared" si="465"/>
        <v>0</v>
      </c>
      <c r="BO156" s="57">
        <f t="shared" si="466"/>
        <v>0</v>
      </c>
      <c r="BP156" s="57">
        <f t="shared" si="467"/>
        <v>0</v>
      </c>
      <c r="BQ156" s="57">
        <f t="shared" si="468"/>
        <v>0</v>
      </c>
      <c r="BR156" s="57">
        <f t="shared" si="469"/>
        <v>0</v>
      </c>
      <c r="BS156" s="157">
        <f t="shared" si="470"/>
        <v>0</v>
      </c>
      <c r="BT156" s="157">
        <f t="shared" si="344"/>
        <v>0</v>
      </c>
      <c r="BU156" s="157">
        <f t="shared" si="345"/>
        <v>0</v>
      </c>
      <c r="BV156" s="144"/>
      <c r="BW156" s="158">
        <f t="shared" si="509"/>
        <v>0</v>
      </c>
      <c r="BX156" s="159">
        <f t="shared" si="510"/>
        <v>0</v>
      </c>
      <c r="BY156" s="159">
        <f t="shared" si="511"/>
        <v>0</v>
      </c>
      <c r="BZ156" s="159">
        <f t="shared" si="512"/>
        <v>0</v>
      </c>
      <c r="CA156" s="158">
        <f t="shared" si="475"/>
        <v>0</v>
      </c>
      <c r="CB156" s="157">
        <f t="shared" si="476"/>
        <v>0</v>
      </c>
      <c r="CC156" s="144"/>
      <c r="CD156" s="158">
        <f t="shared" si="513"/>
        <v>0</v>
      </c>
      <c r="CE156" s="159">
        <f t="shared" si="514"/>
        <v>0</v>
      </c>
      <c r="CF156" s="159">
        <f t="shared" si="515"/>
        <v>0</v>
      </c>
      <c r="CG156" s="159">
        <f t="shared" si="503"/>
        <v>0</v>
      </c>
      <c r="CH156" s="158">
        <f t="shared" si="504"/>
        <v>0</v>
      </c>
      <c r="CI156" s="157">
        <f t="shared" si="481"/>
        <v>0</v>
      </c>
      <c r="CK156" s="61">
        <f t="shared" si="482"/>
        <v>0</v>
      </c>
      <c r="CL156" s="62">
        <f t="shared" si="483"/>
        <v>0</v>
      </c>
      <c r="CM156" s="63">
        <f t="shared" si="484"/>
        <v>0</v>
      </c>
      <c r="CN156" s="61">
        <f t="shared" si="485"/>
        <v>0</v>
      </c>
      <c r="CO156" s="29"/>
      <c r="CP156" s="61">
        <f t="shared" si="516"/>
        <v>0</v>
      </c>
      <c r="CQ156" s="62">
        <f t="shared" si="517"/>
        <v>0</v>
      </c>
      <c r="CR156" s="63">
        <f t="shared" si="518"/>
        <v>0</v>
      </c>
      <c r="CS156" s="61">
        <f t="shared" si="519"/>
        <v>0</v>
      </c>
      <c r="CU156" s="60">
        <f t="shared" si="492"/>
        <v>0</v>
      </c>
      <c r="CV156" s="132">
        <f t="shared" si="493"/>
        <v>0</v>
      </c>
      <c r="CW156" s="132">
        <f t="shared" si="494"/>
        <v>0</v>
      </c>
      <c r="CX156" s="131">
        <f t="shared" si="495"/>
        <v>0</v>
      </c>
    </row>
    <row r="157" spans="1:102">
      <c r="A157" s="214">
        <v>923</v>
      </c>
      <c r="B157" s="214" t="s">
        <v>6</v>
      </c>
      <c r="C157" s="215" t="s">
        <v>188</v>
      </c>
      <c r="D157" s="216">
        <v>1</v>
      </c>
      <c r="E157" s="57">
        <f>VLOOKUP(A157,AuxOPEXSaneparOriginal!$B$4:$F$177,3,0)</f>
        <v>0</v>
      </c>
      <c r="F157" s="156">
        <f>VLOOKUP(A157,AuxOPEXSaneparOriginal!$B$4:$F$177,4,0)</f>
        <v>0</v>
      </c>
      <c r="G157" s="57">
        <f>VLOOKUP(A157,AuxOPEXSaneparOriginal!$B$4:$K$177,8,0)</f>
        <v>0</v>
      </c>
      <c r="H157" s="156">
        <f>VLOOKUP(A157,AuxOPEXSaneparOriginal!$B$4:$K$177,9,0)</f>
        <v>0</v>
      </c>
      <c r="I157" s="57">
        <f>VLOOKUP(A157,AuxOPEXSaneparOriginal!$B$4:$N$177,13,0)</f>
        <v>0</v>
      </c>
      <c r="J157" s="57">
        <f>VLOOKUP(A157,AuxOPEXSaneparOriginal!$B$4:$Q$177,16,0)</f>
        <v>0</v>
      </c>
      <c r="K157" s="57">
        <f>VLOOKUP(A157,AuxOPEXSaneparOriginal!$B$4:$V$177,21,0)</f>
        <v>12986889.299999995</v>
      </c>
      <c r="L157" s="157">
        <f t="shared" si="505"/>
        <v>12986889.299999995</v>
      </c>
      <c r="M157" s="19">
        <f>VLOOKUP(A157,AuxOPEXSaneparOriginal!$B$4:$AB$177,27,0)</f>
        <v>0</v>
      </c>
      <c r="N157" s="156">
        <f>VLOOKUP(A157,AuxOPEXSaneparOriginal!$B$4:$AC$177,28,0)</f>
        <v>0</v>
      </c>
      <c r="O157" s="156">
        <f>VLOOKUP(A157,AuxOPEXSaneparOriginal!$B$4:$AD$177,29,0)</f>
        <v>0</v>
      </c>
      <c r="P157" s="156">
        <f>VLOOKUP(A157,AuxOPEXSaneparOriginal!$B$4:$AE$177,30,0)</f>
        <v>0</v>
      </c>
      <c r="Q157" s="146">
        <f>VLOOKUP(A157,AuxOPEXSaneparOriginal!$B$4:$AF$177,31,0)</f>
        <v>0</v>
      </c>
      <c r="R157" s="146">
        <f>VLOOKUP(A157,AuxOPEXSaneparOriginal!$B$4:$AG$177,32,0)</f>
        <v>0</v>
      </c>
      <c r="S157" s="146">
        <f>VLOOKUP(A157,AuxOPEXSaneparOriginal!$B$4:$AH$177,33,0)</f>
        <v>-1851102.7199999988</v>
      </c>
      <c r="T157" s="157">
        <f t="shared" si="506"/>
        <v>-1851102.7199999988</v>
      </c>
      <c r="U157" s="156">
        <f>VLOOKUP(A157,AuxOPEXSaneparOriginal!$B$4:$AI$177,34,0)</f>
        <v>0</v>
      </c>
      <c r="V157" s="156">
        <f>VLOOKUP(A157,AuxOPEXSaneparOriginal!$B$4:$AJ$177,35,0)</f>
        <v>0</v>
      </c>
      <c r="W157" s="156">
        <f>VLOOKUP(A157,AuxOPEXSaneparOriginal!$B$4:$AK$177,36,0)</f>
        <v>0</v>
      </c>
      <c r="X157" s="19">
        <f>+VLOOKUP(A157,AuxOPEXSaneparOriginal!$B$4:$AL$177,37,0)</f>
        <v>0</v>
      </c>
      <c r="Y157" s="146">
        <f>VLOOKUP(A157,AuxOPEXSaneparOriginal!$B$4:$AM$177,38,0)</f>
        <v>0</v>
      </c>
      <c r="Z157" s="146">
        <f>VLOOKUP(A157,AuxOPEXSaneparOriginal!$B$4:$AN$177,39,0)</f>
        <v>0</v>
      </c>
      <c r="AA157" s="146">
        <f>VLOOKUP(A157,AuxOPEXSaneparOriginal!$B$4:$AO$177,40,0)</f>
        <v>-1473656.669999999</v>
      </c>
      <c r="AB157" s="157">
        <f t="shared" si="507"/>
        <v>-1473656.669999999</v>
      </c>
      <c r="AC157" s="156">
        <f>VLOOKUP(A157,AuxOPEXSaneparOriginal!$B$4:$AP$177,41,0)</f>
        <v>0</v>
      </c>
      <c r="AD157" s="156">
        <f>+VLOOKUP(A157,AuxOPEXSaneparOriginal!$B$4:$AQ$177,42,0)</f>
        <v>0</v>
      </c>
      <c r="AE157" s="156">
        <f>VLOOKUP(A157,AuxOPEXSaneparOriginal!$B$4:$AR$177,43,0)</f>
        <v>0</v>
      </c>
      <c r="AF157" s="156">
        <f>+VLOOKUP(A157,AuxOPEXSaneparOriginal!$B$4:$AS$177,44,0)</f>
        <v>0</v>
      </c>
      <c r="AG157" s="146">
        <f>VLOOKUP(A157,AuxOPEXSaneparOriginal!$B$4:$AT$177,45,0)</f>
        <v>0</v>
      </c>
      <c r="AH157" s="146">
        <f>VLOOKUP(A157,AuxOPEXSaneparOriginal!$B$4:$AU$177,46,0)</f>
        <v>0</v>
      </c>
      <c r="AI157" s="146">
        <f>VLOOKUP(A157,AuxOPEXSaneparOriginal!$B$4:$AV$177,47,0)</f>
        <v>-5483604.0200000061</v>
      </c>
      <c r="AJ157" s="157">
        <f t="shared" si="508"/>
        <v>-5483604.0200000061</v>
      </c>
      <c r="AK157" s="157">
        <f t="shared" si="490"/>
        <v>1044631.4724999978</v>
      </c>
      <c r="AL157" s="157">
        <f t="shared" si="491"/>
        <v>-3478630.3450000025</v>
      </c>
      <c r="AM157" s="144"/>
      <c r="AN157" s="167">
        <f t="shared" si="496"/>
        <v>0</v>
      </c>
      <c r="AO157" s="168">
        <f t="shared" si="497"/>
        <v>0</v>
      </c>
      <c r="AP157" s="57">
        <f t="shared" si="498"/>
        <v>0</v>
      </c>
      <c r="AQ157" s="57">
        <f t="shared" si="499"/>
        <v>0</v>
      </c>
      <c r="AR157" s="57">
        <f t="shared" si="500"/>
        <v>0</v>
      </c>
      <c r="AS157" s="57">
        <f t="shared" si="501"/>
        <v>0</v>
      </c>
      <c r="AT157" s="57">
        <f t="shared" si="502"/>
        <v>0</v>
      </c>
      <c r="AU157" s="157">
        <f t="shared" si="446"/>
        <v>0</v>
      </c>
      <c r="AV157" s="57">
        <f t="shared" si="447"/>
        <v>0</v>
      </c>
      <c r="AW157" s="57">
        <f t="shared" si="448"/>
        <v>0</v>
      </c>
      <c r="AX157" s="57">
        <f t="shared" si="449"/>
        <v>0</v>
      </c>
      <c r="AY157" s="57">
        <f t="shared" si="450"/>
        <v>0</v>
      </c>
      <c r="AZ157" s="57">
        <f t="shared" si="451"/>
        <v>0</v>
      </c>
      <c r="BA157" s="57">
        <f t="shared" si="452"/>
        <v>0</v>
      </c>
      <c r="BB157" s="57">
        <f t="shared" si="453"/>
        <v>0</v>
      </c>
      <c r="BC157" s="157">
        <f t="shared" si="454"/>
        <v>0</v>
      </c>
      <c r="BD157" s="57">
        <f t="shared" si="455"/>
        <v>0</v>
      </c>
      <c r="BE157" s="57">
        <f t="shared" si="456"/>
        <v>0</v>
      </c>
      <c r="BF157" s="57">
        <f t="shared" si="457"/>
        <v>0</v>
      </c>
      <c r="BG157" s="57">
        <f t="shared" si="458"/>
        <v>0</v>
      </c>
      <c r="BH157" s="57">
        <f t="shared" si="459"/>
        <v>0</v>
      </c>
      <c r="BI157" s="57">
        <f t="shared" si="460"/>
        <v>0</v>
      </c>
      <c r="BJ157" s="57">
        <f t="shared" si="461"/>
        <v>0</v>
      </c>
      <c r="BK157" s="157">
        <f t="shared" si="462"/>
        <v>0</v>
      </c>
      <c r="BL157" s="57">
        <f t="shared" si="463"/>
        <v>0</v>
      </c>
      <c r="BM157" s="57">
        <f t="shared" si="464"/>
        <v>0</v>
      </c>
      <c r="BN157" s="57">
        <f t="shared" si="465"/>
        <v>0</v>
      </c>
      <c r="BO157" s="57">
        <f t="shared" si="466"/>
        <v>0</v>
      </c>
      <c r="BP157" s="57">
        <f t="shared" si="467"/>
        <v>0</v>
      </c>
      <c r="BQ157" s="57">
        <f t="shared" si="468"/>
        <v>0</v>
      </c>
      <c r="BR157" s="57">
        <f t="shared" si="469"/>
        <v>0</v>
      </c>
      <c r="BS157" s="157">
        <f t="shared" si="470"/>
        <v>0</v>
      </c>
      <c r="BT157" s="157">
        <f t="shared" si="344"/>
        <v>0</v>
      </c>
      <c r="BU157" s="157">
        <f t="shared" si="345"/>
        <v>0</v>
      </c>
      <c r="BV157" s="144"/>
      <c r="BW157" s="158">
        <f t="shared" si="509"/>
        <v>0</v>
      </c>
      <c r="BX157" s="159">
        <f t="shared" si="510"/>
        <v>0</v>
      </c>
      <c r="BY157" s="159">
        <f t="shared" si="511"/>
        <v>0</v>
      </c>
      <c r="BZ157" s="159">
        <f t="shared" si="512"/>
        <v>0</v>
      </c>
      <c r="CA157" s="158">
        <f t="shared" si="475"/>
        <v>0</v>
      </c>
      <c r="CB157" s="157">
        <f t="shared" si="476"/>
        <v>0</v>
      </c>
      <c r="CC157" s="144"/>
      <c r="CD157" s="158">
        <f t="shared" si="513"/>
        <v>0</v>
      </c>
      <c r="CE157" s="159">
        <f t="shared" si="514"/>
        <v>0</v>
      </c>
      <c r="CF157" s="159">
        <f t="shared" si="515"/>
        <v>0</v>
      </c>
      <c r="CG157" s="159">
        <f t="shared" si="503"/>
        <v>0</v>
      </c>
      <c r="CH157" s="158">
        <f t="shared" si="504"/>
        <v>0</v>
      </c>
      <c r="CI157" s="157">
        <f t="shared" si="481"/>
        <v>0</v>
      </c>
      <c r="CK157" s="61">
        <f t="shared" si="482"/>
        <v>0</v>
      </c>
      <c r="CL157" s="62">
        <f t="shared" si="483"/>
        <v>0</v>
      </c>
      <c r="CM157" s="63">
        <f t="shared" si="484"/>
        <v>0</v>
      </c>
      <c r="CN157" s="61">
        <f t="shared" si="485"/>
        <v>0</v>
      </c>
      <c r="CO157" s="29"/>
      <c r="CP157" s="61">
        <f t="shared" si="516"/>
        <v>0</v>
      </c>
      <c r="CQ157" s="62">
        <f t="shared" si="517"/>
        <v>0</v>
      </c>
      <c r="CR157" s="63">
        <f t="shared" si="518"/>
        <v>0</v>
      </c>
      <c r="CS157" s="61">
        <f t="shared" si="519"/>
        <v>0</v>
      </c>
      <c r="CU157" s="60">
        <f t="shared" si="492"/>
        <v>0</v>
      </c>
      <c r="CV157" s="132">
        <f t="shared" si="493"/>
        <v>0</v>
      </c>
      <c r="CW157" s="132">
        <f t="shared" si="494"/>
        <v>0</v>
      </c>
      <c r="CX157" s="131">
        <f t="shared" si="495"/>
        <v>0</v>
      </c>
    </row>
    <row r="158" spans="1:102">
      <c r="A158" s="214">
        <v>924</v>
      </c>
      <c r="B158" s="214" t="s">
        <v>6</v>
      </c>
      <c r="C158" s="215" t="s">
        <v>189</v>
      </c>
      <c r="D158" s="216">
        <v>1</v>
      </c>
      <c r="E158" s="57">
        <f>VLOOKUP(A158,AuxOPEXSaneparOriginal!$B$4:$F$177,3,0)</f>
        <v>0</v>
      </c>
      <c r="F158" s="156">
        <f>VLOOKUP(A158,AuxOPEXSaneparOriginal!$B$4:$F$177,4,0)</f>
        <v>0</v>
      </c>
      <c r="G158" s="57">
        <f>VLOOKUP(A158,AuxOPEXSaneparOriginal!$B$4:$K$177,8,0)</f>
        <v>0</v>
      </c>
      <c r="H158" s="156">
        <f>VLOOKUP(A158,AuxOPEXSaneparOriginal!$B$4:$K$177,9,0)</f>
        <v>0</v>
      </c>
      <c r="I158" s="57">
        <f>VLOOKUP(A158,AuxOPEXSaneparOriginal!$B$4:$N$177,13,0)</f>
        <v>0</v>
      </c>
      <c r="J158" s="57">
        <f>VLOOKUP(A158,AuxOPEXSaneparOriginal!$B$4:$Q$177,16,0)</f>
        <v>0</v>
      </c>
      <c r="K158" s="57">
        <f>VLOOKUP(A158,AuxOPEXSaneparOriginal!$B$4:$V$177,21,0)</f>
        <v>-85788355.360000014</v>
      </c>
      <c r="L158" s="157">
        <f t="shared" si="505"/>
        <v>-85788355.360000014</v>
      </c>
      <c r="M158" s="19">
        <f>VLOOKUP(A158,AuxOPEXSaneparOriginal!$B$4:$AB$177,27,0)</f>
        <v>0</v>
      </c>
      <c r="N158" s="156">
        <f>VLOOKUP(A158,AuxOPEXSaneparOriginal!$B$4:$AC$177,28,0)</f>
        <v>0</v>
      </c>
      <c r="O158" s="156">
        <f>VLOOKUP(A158,AuxOPEXSaneparOriginal!$B$4:$AD$177,29,0)</f>
        <v>0</v>
      </c>
      <c r="P158" s="156">
        <f>VLOOKUP(A158,AuxOPEXSaneparOriginal!$B$4:$AE$177,30,0)</f>
        <v>0</v>
      </c>
      <c r="Q158" s="146">
        <f>VLOOKUP(A158,AuxOPEXSaneparOriginal!$B$4:$AF$177,31,0)</f>
        <v>0</v>
      </c>
      <c r="R158" s="146">
        <f>VLOOKUP(A158,AuxOPEXSaneparOriginal!$B$4:$AG$177,32,0)</f>
        <v>0</v>
      </c>
      <c r="S158" s="146">
        <f>VLOOKUP(A158,AuxOPEXSaneparOriginal!$B$4:$AH$177,33,0)</f>
        <v>-20750470.009999998</v>
      </c>
      <c r="T158" s="157">
        <f t="shared" si="506"/>
        <v>-20750470.009999998</v>
      </c>
      <c r="U158" s="156">
        <f>VLOOKUP(A158,AuxOPEXSaneparOriginal!$B$4:$AI$177,34,0)</f>
        <v>0</v>
      </c>
      <c r="V158" s="156">
        <f>VLOOKUP(A158,AuxOPEXSaneparOriginal!$B$4:$AJ$177,35,0)</f>
        <v>0</v>
      </c>
      <c r="W158" s="156">
        <f>VLOOKUP(A158,AuxOPEXSaneparOriginal!$B$4:$AK$177,36,0)</f>
        <v>0</v>
      </c>
      <c r="X158" s="19">
        <f>+VLOOKUP(A158,AuxOPEXSaneparOriginal!$B$4:$AL$177,37,0)</f>
        <v>0</v>
      </c>
      <c r="Y158" s="146">
        <f>VLOOKUP(A158,AuxOPEXSaneparOriginal!$B$4:$AM$177,38,0)</f>
        <v>0</v>
      </c>
      <c r="Z158" s="146">
        <f>VLOOKUP(A158,AuxOPEXSaneparOriginal!$B$4:$AN$177,39,0)</f>
        <v>0</v>
      </c>
      <c r="AA158" s="146">
        <f>VLOOKUP(A158,AuxOPEXSaneparOriginal!$B$4:$AO$177,40,0)</f>
        <v>11566966.41</v>
      </c>
      <c r="AB158" s="157">
        <f t="shared" si="507"/>
        <v>11566966.41</v>
      </c>
      <c r="AC158" s="156">
        <f>VLOOKUP(A158,AuxOPEXSaneparOriginal!$B$4:$AP$177,41,0)</f>
        <v>0</v>
      </c>
      <c r="AD158" s="156">
        <f>+VLOOKUP(A158,AuxOPEXSaneparOriginal!$B$4:$AQ$177,42,0)</f>
        <v>0</v>
      </c>
      <c r="AE158" s="156">
        <f>VLOOKUP(A158,AuxOPEXSaneparOriginal!$B$4:$AR$177,43,0)</f>
        <v>0</v>
      </c>
      <c r="AF158" s="156">
        <f>+VLOOKUP(A158,AuxOPEXSaneparOriginal!$B$4:$AS$177,44,0)</f>
        <v>0</v>
      </c>
      <c r="AG158" s="146">
        <f>VLOOKUP(A158,AuxOPEXSaneparOriginal!$B$4:$AT$177,45,0)</f>
        <v>0</v>
      </c>
      <c r="AH158" s="146">
        <f>VLOOKUP(A158,AuxOPEXSaneparOriginal!$B$4:$AU$177,46,0)</f>
        <v>0</v>
      </c>
      <c r="AI158" s="146">
        <f>VLOOKUP(A158,AuxOPEXSaneparOriginal!$B$4:$AV$177,47,0)</f>
        <v>-1389823.73</v>
      </c>
      <c r="AJ158" s="157">
        <f t="shared" si="508"/>
        <v>-1389823.73</v>
      </c>
      <c r="AK158" s="157">
        <f t="shared" si="490"/>
        <v>-24090420.672500003</v>
      </c>
      <c r="AL158" s="157">
        <f t="shared" si="491"/>
        <v>5088571.34</v>
      </c>
      <c r="AM158" s="144"/>
      <c r="AN158" s="167">
        <f t="shared" si="496"/>
        <v>0</v>
      </c>
      <c r="AO158" s="168">
        <f t="shared" si="497"/>
        <v>0</v>
      </c>
      <c r="AP158" s="57">
        <f t="shared" si="498"/>
        <v>0</v>
      </c>
      <c r="AQ158" s="57">
        <f t="shared" si="499"/>
        <v>0</v>
      </c>
      <c r="AR158" s="57">
        <f t="shared" si="500"/>
        <v>0</v>
      </c>
      <c r="AS158" s="57">
        <f t="shared" si="501"/>
        <v>0</v>
      </c>
      <c r="AT158" s="57">
        <f t="shared" si="502"/>
        <v>0</v>
      </c>
      <c r="AU158" s="157">
        <f t="shared" si="446"/>
        <v>0</v>
      </c>
      <c r="AV158" s="57">
        <f t="shared" si="447"/>
        <v>0</v>
      </c>
      <c r="AW158" s="57">
        <f t="shared" si="448"/>
        <v>0</v>
      </c>
      <c r="AX158" s="57">
        <f t="shared" si="449"/>
        <v>0</v>
      </c>
      <c r="AY158" s="57">
        <f t="shared" si="450"/>
        <v>0</v>
      </c>
      <c r="AZ158" s="57">
        <f t="shared" si="451"/>
        <v>0</v>
      </c>
      <c r="BA158" s="57">
        <f t="shared" si="452"/>
        <v>0</v>
      </c>
      <c r="BB158" s="57">
        <f t="shared" si="453"/>
        <v>0</v>
      </c>
      <c r="BC158" s="157">
        <f t="shared" si="454"/>
        <v>0</v>
      </c>
      <c r="BD158" s="57">
        <f t="shared" si="455"/>
        <v>0</v>
      </c>
      <c r="BE158" s="57">
        <f t="shared" si="456"/>
        <v>0</v>
      </c>
      <c r="BF158" s="57">
        <f t="shared" si="457"/>
        <v>0</v>
      </c>
      <c r="BG158" s="57">
        <f t="shared" si="458"/>
        <v>0</v>
      </c>
      <c r="BH158" s="57">
        <f t="shared" si="459"/>
        <v>0</v>
      </c>
      <c r="BI158" s="57">
        <f t="shared" si="460"/>
        <v>0</v>
      </c>
      <c r="BJ158" s="57">
        <f t="shared" si="461"/>
        <v>0</v>
      </c>
      <c r="BK158" s="157">
        <f t="shared" si="462"/>
        <v>0</v>
      </c>
      <c r="BL158" s="57">
        <f t="shared" si="463"/>
        <v>0</v>
      </c>
      <c r="BM158" s="57">
        <f t="shared" si="464"/>
        <v>0</v>
      </c>
      <c r="BN158" s="57">
        <f t="shared" si="465"/>
        <v>0</v>
      </c>
      <c r="BO158" s="57">
        <f t="shared" si="466"/>
        <v>0</v>
      </c>
      <c r="BP158" s="57">
        <f t="shared" si="467"/>
        <v>0</v>
      </c>
      <c r="BQ158" s="57">
        <f t="shared" si="468"/>
        <v>0</v>
      </c>
      <c r="BR158" s="57">
        <f t="shared" si="469"/>
        <v>0</v>
      </c>
      <c r="BS158" s="157">
        <f t="shared" si="470"/>
        <v>0</v>
      </c>
      <c r="BT158" s="157">
        <f t="shared" si="344"/>
        <v>0</v>
      </c>
      <c r="BU158" s="157">
        <f t="shared" si="345"/>
        <v>0</v>
      </c>
      <c r="BV158" s="144"/>
      <c r="BW158" s="158">
        <f t="shared" si="509"/>
        <v>0</v>
      </c>
      <c r="BX158" s="159">
        <f t="shared" si="510"/>
        <v>0</v>
      </c>
      <c r="BY158" s="159">
        <f t="shared" si="511"/>
        <v>0</v>
      </c>
      <c r="BZ158" s="159">
        <f t="shared" si="512"/>
        <v>0</v>
      </c>
      <c r="CA158" s="158">
        <f t="shared" si="475"/>
        <v>0</v>
      </c>
      <c r="CB158" s="157">
        <f t="shared" si="476"/>
        <v>0</v>
      </c>
      <c r="CC158" s="144"/>
      <c r="CD158" s="158">
        <f t="shared" si="513"/>
        <v>0</v>
      </c>
      <c r="CE158" s="159">
        <f t="shared" si="514"/>
        <v>0</v>
      </c>
      <c r="CF158" s="159">
        <f t="shared" si="515"/>
        <v>0</v>
      </c>
      <c r="CG158" s="159">
        <f t="shared" si="503"/>
        <v>0</v>
      </c>
      <c r="CH158" s="158">
        <f t="shared" si="504"/>
        <v>0</v>
      </c>
      <c r="CI158" s="157">
        <f t="shared" si="481"/>
        <v>0</v>
      </c>
      <c r="CK158" s="61">
        <f t="shared" si="482"/>
        <v>0</v>
      </c>
      <c r="CL158" s="62">
        <f t="shared" si="483"/>
        <v>0</v>
      </c>
      <c r="CM158" s="63">
        <f t="shared" si="484"/>
        <v>0</v>
      </c>
      <c r="CN158" s="61">
        <f t="shared" si="485"/>
        <v>0</v>
      </c>
      <c r="CO158" s="29"/>
      <c r="CP158" s="61">
        <f t="shared" si="516"/>
        <v>0</v>
      </c>
      <c r="CQ158" s="62">
        <f t="shared" si="517"/>
        <v>0</v>
      </c>
      <c r="CR158" s="63">
        <f t="shared" si="518"/>
        <v>0</v>
      </c>
      <c r="CS158" s="61">
        <f t="shared" si="519"/>
        <v>0</v>
      </c>
      <c r="CU158" s="60">
        <f t="shared" si="492"/>
        <v>0</v>
      </c>
      <c r="CV158" s="132">
        <f t="shared" si="493"/>
        <v>0</v>
      </c>
      <c r="CW158" s="132">
        <f t="shared" si="494"/>
        <v>0</v>
      </c>
      <c r="CX158" s="131">
        <f t="shared" si="495"/>
        <v>0</v>
      </c>
    </row>
    <row r="159" spans="1:102">
      <c r="A159" s="214">
        <v>925</v>
      </c>
      <c r="B159" s="214" t="s">
        <v>6</v>
      </c>
      <c r="C159" s="215" t="s">
        <v>190</v>
      </c>
      <c r="D159" s="216">
        <v>1</v>
      </c>
      <c r="E159" s="57">
        <f>VLOOKUP(A159,AuxOPEXSaneparOriginal!$B$4:$F$177,3,0)</f>
        <v>0</v>
      </c>
      <c r="F159" s="156">
        <f>VLOOKUP(A159,AuxOPEXSaneparOriginal!$B$4:$F$177,4,0)</f>
        <v>0</v>
      </c>
      <c r="G159" s="57">
        <f>VLOOKUP(A159,AuxOPEXSaneparOriginal!$B$4:$K$177,8,0)</f>
        <v>0</v>
      </c>
      <c r="H159" s="156">
        <f>VLOOKUP(A159,AuxOPEXSaneparOriginal!$B$4:$K$177,9,0)</f>
        <v>0</v>
      </c>
      <c r="I159" s="57">
        <f>VLOOKUP(A159,AuxOPEXSaneparOriginal!$B$4:$N$177,13,0)</f>
        <v>0</v>
      </c>
      <c r="J159" s="57">
        <f>VLOOKUP(A159,AuxOPEXSaneparOriginal!$B$4:$Q$177,16,0)</f>
        <v>0</v>
      </c>
      <c r="K159" s="57">
        <f>VLOOKUP(A159,AuxOPEXSaneparOriginal!$B$4:$V$177,21,0)</f>
        <v>89188000</v>
      </c>
      <c r="L159" s="157">
        <f t="shared" si="505"/>
        <v>89188000</v>
      </c>
      <c r="M159" s="19">
        <f>VLOOKUP(A159,AuxOPEXSaneparOriginal!$B$4:$AB$177,27,0)</f>
        <v>0</v>
      </c>
      <c r="N159" s="156">
        <f>VLOOKUP(A159,AuxOPEXSaneparOriginal!$B$4:$AC$177,28,0)</f>
        <v>0</v>
      </c>
      <c r="O159" s="156">
        <f>VLOOKUP(A159,AuxOPEXSaneparOriginal!$B$4:$AD$177,29,0)</f>
        <v>0</v>
      </c>
      <c r="P159" s="156">
        <f>VLOOKUP(A159,AuxOPEXSaneparOriginal!$B$4:$AE$177,30,0)</f>
        <v>0</v>
      </c>
      <c r="Q159" s="146">
        <f>VLOOKUP(A159,AuxOPEXSaneparOriginal!$B$4:$AF$177,31,0)</f>
        <v>0</v>
      </c>
      <c r="R159" s="146">
        <f>VLOOKUP(A159,AuxOPEXSaneparOriginal!$B$4:$AG$177,32,0)</f>
        <v>0</v>
      </c>
      <c r="S159" s="146">
        <f>VLOOKUP(A159,AuxOPEXSaneparOriginal!$B$4:$AH$177,33,0)</f>
        <v>76011000</v>
      </c>
      <c r="T159" s="157">
        <f t="shared" si="506"/>
        <v>76011000</v>
      </c>
      <c r="U159" s="156">
        <f>VLOOKUP(A159,AuxOPEXSaneparOriginal!$B$4:$AI$177,34,0)</f>
        <v>0</v>
      </c>
      <c r="V159" s="156">
        <f>VLOOKUP(A159,AuxOPEXSaneparOriginal!$B$4:$AJ$177,35,0)</f>
        <v>0</v>
      </c>
      <c r="W159" s="156">
        <f>VLOOKUP(A159,AuxOPEXSaneparOriginal!$B$4:$AK$177,36,0)</f>
        <v>0</v>
      </c>
      <c r="X159" s="19">
        <f>+VLOOKUP(A159,AuxOPEXSaneparOriginal!$B$4:$AL$177,37,0)</f>
        <v>0</v>
      </c>
      <c r="Y159" s="146">
        <f>VLOOKUP(A159,AuxOPEXSaneparOriginal!$B$4:$AM$177,38,0)</f>
        <v>0</v>
      </c>
      <c r="Z159" s="146">
        <f>VLOOKUP(A159,AuxOPEXSaneparOriginal!$B$4:$AN$177,39,0)</f>
        <v>0</v>
      </c>
      <c r="AA159" s="146">
        <f>VLOOKUP(A159,AuxOPEXSaneparOriginal!$B$4:$AO$177,40,0)</f>
        <v>60084000</v>
      </c>
      <c r="AB159" s="157">
        <f t="shared" si="507"/>
        <v>60084000</v>
      </c>
      <c r="AC159" s="156">
        <f>VLOOKUP(A159,AuxOPEXSaneparOriginal!$B$4:$AP$177,41,0)</f>
        <v>0</v>
      </c>
      <c r="AD159" s="156">
        <f>+VLOOKUP(A159,AuxOPEXSaneparOriginal!$B$4:$AQ$177,42,0)</f>
        <v>0</v>
      </c>
      <c r="AE159" s="156">
        <f>VLOOKUP(A159,AuxOPEXSaneparOriginal!$B$4:$AR$177,43,0)</f>
        <v>0</v>
      </c>
      <c r="AF159" s="156">
        <f>+VLOOKUP(A159,AuxOPEXSaneparOriginal!$B$4:$AS$177,44,0)</f>
        <v>0</v>
      </c>
      <c r="AG159" s="146">
        <f>VLOOKUP(A159,AuxOPEXSaneparOriginal!$B$4:$AT$177,45,0)</f>
        <v>0</v>
      </c>
      <c r="AH159" s="146">
        <f>VLOOKUP(A159,AuxOPEXSaneparOriginal!$B$4:$AU$177,46,0)</f>
        <v>0</v>
      </c>
      <c r="AI159" s="146">
        <f>VLOOKUP(A159,AuxOPEXSaneparOriginal!$B$4:$AV$177,47,0)</f>
        <v>60784000</v>
      </c>
      <c r="AJ159" s="157">
        <f t="shared" si="508"/>
        <v>60784000</v>
      </c>
      <c r="AK159" s="157">
        <f t="shared" si="490"/>
        <v>71516750</v>
      </c>
      <c r="AL159" s="157">
        <f t="shared" si="491"/>
        <v>60434000</v>
      </c>
      <c r="AM159" s="144"/>
      <c r="AN159" s="167">
        <f t="shared" si="496"/>
        <v>0</v>
      </c>
      <c r="AO159" s="168">
        <f t="shared" si="497"/>
        <v>0</v>
      </c>
      <c r="AP159" s="57">
        <f t="shared" si="498"/>
        <v>0</v>
      </c>
      <c r="AQ159" s="57">
        <f t="shared" si="499"/>
        <v>0</v>
      </c>
      <c r="AR159" s="57">
        <f t="shared" si="500"/>
        <v>0</v>
      </c>
      <c r="AS159" s="57">
        <f t="shared" si="501"/>
        <v>0</v>
      </c>
      <c r="AT159" s="57">
        <f t="shared" si="502"/>
        <v>0</v>
      </c>
      <c r="AU159" s="157">
        <f t="shared" si="446"/>
        <v>0</v>
      </c>
      <c r="AV159" s="57">
        <f t="shared" si="447"/>
        <v>0</v>
      </c>
      <c r="AW159" s="57">
        <f t="shared" si="448"/>
        <v>0</v>
      </c>
      <c r="AX159" s="57">
        <f t="shared" si="449"/>
        <v>0</v>
      </c>
      <c r="AY159" s="57">
        <f t="shared" si="450"/>
        <v>0</v>
      </c>
      <c r="AZ159" s="57">
        <f t="shared" si="451"/>
        <v>0</v>
      </c>
      <c r="BA159" s="57">
        <f t="shared" si="452"/>
        <v>0</v>
      </c>
      <c r="BB159" s="57">
        <f t="shared" si="453"/>
        <v>0</v>
      </c>
      <c r="BC159" s="157">
        <f t="shared" si="454"/>
        <v>0</v>
      </c>
      <c r="BD159" s="57">
        <f t="shared" si="455"/>
        <v>0</v>
      </c>
      <c r="BE159" s="57">
        <f t="shared" si="456"/>
        <v>0</v>
      </c>
      <c r="BF159" s="57">
        <f t="shared" si="457"/>
        <v>0</v>
      </c>
      <c r="BG159" s="57">
        <f t="shared" si="458"/>
        <v>0</v>
      </c>
      <c r="BH159" s="57">
        <f t="shared" si="459"/>
        <v>0</v>
      </c>
      <c r="BI159" s="57">
        <f t="shared" si="460"/>
        <v>0</v>
      </c>
      <c r="BJ159" s="57">
        <f t="shared" si="461"/>
        <v>0</v>
      </c>
      <c r="BK159" s="157">
        <f t="shared" si="462"/>
        <v>0</v>
      </c>
      <c r="BL159" s="57">
        <f t="shared" si="463"/>
        <v>0</v>
      </c>
      <c r="BM159" s="57">
        <f t="shared" si="464"/>
        <v>0</v>
      </c>
      <c r="BN159" s="57">
        <f t="shared" si="465"/>
        <v>0</v>
      </c>
      <c r="BO159" s="57">
        <f t="shared" si="466"/>
        <v>0</v>
      </c>
      <c r="BP159" s="57">
        <f t="shared" si="467"/>
        <v>0</v>
      </c>
      <c r="BQ159" s="57">
        <f t="shared" si="468"/>
        <v>0</v>
      </c>
      <c r="BR159" s="57">
        <f t="shared" si="469"/>
        <v>0</v>
      </c>
      <c r="BS159" s="157">
        <f t="shared" si="470"/>
        <v>0</v>
      </c>
      <c r="BT159" s="157">
        <f t="shared" si="344"/>
        <v>0</v>
      </c>
      <c r="BU159" s="157">
        <f t="shared" si="345"/>
        <v>0</v>
      </c>
      <c r="BV159" s="144"/>
      <c r="BW159" s="158">
        <f t="shared" si="509"/>
        <v>0</v>
      </c>
      <c r="BX159" s="159">
        <f t="shared" si="510"/>
        <v>0</v>
      </c>
      <c r="BY159" s="159">
        <f t="shared" si="511"/>
        <v>0</v>
      </c>
      <c r="BZ159" s="159">
        <f t="shared" si="512"/>
        <v>0</v>
      </c>
      <c r="CA159" s="158">
        <f t="shared" si="475"/>
        <v>0</v>
      </c>
      <c r="CB159" s="157">
        <f t="shared" si="476"/>
        <v>0</v>
      </c>
      <c r="CC159" s="144"/>
      <c r="CD159" s="158">
        <f t="shared" si="513"/>
        <v>0</v>
      </c>
      <c r="CE159" s="159">
        <f t="shared" si="514"/>
        <v>0</v>
      </c>
      <c r="CF159" s="159">
        <f t="shared" si="515"/>
        <v>0</v>
      </c>
      <c r="CG159" s="159">
        <f t="shared" si="503"/>
        <v>0</v>
      </c>
      <c r="CH159" s="158">
        <f t="shared" si="504"/>
        <v>0</v>
      </c>
      <c r="CI159" s="157">
        <f t="shared" si="481"/>
        <v>0</v>
      </c>
      <c r="CK159" s="61">
        <f t="shared" si="482"/>
        <v>0</v>
      </c>
      <c r="CL159" s="62">
        <f t="shared" si="483"/>
        <v>0</v>
      </c>
      <c r="CM159" s="63">
        <f t="shared" si="484"/>
        <v>0</v>
      </c>
      <c r="CN159" s="61">
        <f t="shared" si="485"/>
        <v>0</v>
      </c>
      <c r="CO159" s="29"/>
      <c r="CP159" s="61">
        <f t="shared" si="516"/>
        <v>0</v>
      </c>
      <c r="CQ159" s="62">
        <f t="shared" si="517"/>
        <v>0</v>
      </c>
      <c r="CR159" s="63">
        <f t="shared" si="518"/>
        <v>0</v>
      </c>
      <c r="CS159" s="61">
        <f t="shared" si="519"/>
        <v>0</v>
      </c>
      <c r="CU159" s="60">
        <f t="shared" si="492"/>
        <v>0</v>
      </c>
      <c r="CV159" s="132">
        <f t="shared" si="493"/>
        <v>0</v>
      </c>
      <c r="CW159" s="132">
        <f t="shared" si="494"/>
        <v>0</v>
      </c>
      <c r="CX159" s="131">
        <f t="shared" si="495"/>
        <v>0</v>
      </c>
    </row>
    <row r="160" spans="1:102">
      <c r="A160" s="214" t="s">
        <v>191</v>
      </c>
      <c r="B160" s="214" t="s">
        <v>6</v>
      </c>
      <c r="C160" s="215" t="s">
        <v>192</v>
      </c>
      <c r="D160" s="216">
        <v>1</v>
      </c>
      <c r="E160" s="57">
        <f>VLOOKUP(A160,AuxOPEXSaneparOriginal!$B$4:$F$177,3,0)</f>
        <v>0</v>
      </c>
      <c r="F160" s="156">
        <f>VLOOKUP(A160,AuxOPEXSaneparOriginal!$B$4:$F$177,4,0)</f>
        <v>0</v>
      </c>
      <c r="G160" s="57">
        <f>VLOOKUP(A160,AuxOPEXSaneparOriginal!$B$4:$K$177,8,0)</f>
        <v>0</v>
      </c>
      <c r="H160" s="156">
        <f>VLOOKUP(A160,AuxOPEXSaneparOriginal!$B$4:$K$177,9,0)</f>
        <v>0</v>
      </c>
      <c r="I160" s="57">
        <f>VLOOKUP(A160,AuxOPEXSaneparOriginal!$B$4:$N$177,13,0)</f>
        <v>0</v>
      </c>
      <c r="J160" s="57">
        <f>VLOOKUP(A160,AuxOPEXSaneparOriginal!$B$4:$Q$177,16,0)</f>
        <v>0</v>
      </c>
      <c r="K160" s="57">
        <f>VLOOKUP(A160,AuxOPEXSaneparOriginal!$B$4:$V$177,21,0)</f>
        <v>-9079.31</v>
      </c>
      <c r="L160" s="157">
        <f t="shared" si="505"/>
        <v>-9079.31</v>
      </c>
      <c r="M160" s="19">
        <f>VLOOKUP(A160,AuxOPEXSaneparOriginal!$B$4:$AB$177,27,0)</f>
        <v>0</v>
      </c>
      <c r="N160" s="156">
        <f>VLOOKUP(A160,AuxOPEXSaneparOriginal!$B$4:$AC$177,28,0)</f>
        <v>0</v>
      </c>
      <c r="O160" s="156">
        <f>VLOOKUP(A160,AuxOPEXSaneparOriginal!$B$4:$AD$177,29,0)</f>
        <v>0</v>
      </c>
      <c r="P160" s="156">
        <f>VLOOKUP(A160,AuxOPEXSaneparOriginal!$B$4:$AE$177,30,0)</f>
        <v>0</v>
      </c>
      <c r="Q160" s="146">
        <f>VLOOKUP(A160,AuxOPEXSaneparOriginal!$B$4:$AF$177,31,0)</f>
        <v>0</v>
      </c>
      <c r="R160" s="146">
        <f>VLOOKUP(A160,AuxOPEXSaneparOriginal!$B$4:$AG$177,32,0)</f>
        <v>0</v>
      </c>
      <c r="S160" s="146">
        <f>VLOOKUP(A160,AuxOPEXSaneparOriginal!$B$4:$AH$177,33,0)</f>
        <v>-3428189.4</v>
      </c>
      <c r="T160" s="157">
        <f t="shared" si="506"/>
        <v>-3428189.4</v>
      </c>
      <c r="U160" s="156">
        <f>VLOOKUP(A160,AuxOPEXSaneparOriginal!$B$4:$AI$177,34,0)</f>
        <v>0</v>
      </c>
      <c r="V160" s="156">
        <f>VLOOKUP(A160,AuxOPEXSaneparOriginal!$B$4:$AJ$177,35,0)</f>
        <v>0</v>
      </c>
      <c r="W160" s="156">
        <f>VLOOKUP(A160,AuxOPEXSaneparOriginal!$B$4:$AK$177,36,0)</f>
        <v>0</v>
      </c>
      <c r="X160" s="19">
        <f>+VLOOKUP(A160,AuxOPEXSaneparOriginal!$B$4:$AL$177,37,0)</f>
        <v>0</v>
      </c>
      <c r="Y160" s="146">
        <f>VLOOKUP(A160,AuxOPEXSaneparOriginal!$B$4:$AM$177,38,0)</f>
        <v>0</v>
      </c>
      <c r="Z160" s="146">
        <f>VLOOKUP(A160,AuxOPEXSaneparOriginal!$B$4:$AN$177,39,0)</f>
        <v>0</v>
      </c>
      <c r="AA160" s="146">
        <f>VLOOKUP(A160,AuxOPEXSaneparOriginal!$B$4:$AO$177,40,0)</f>
        <v>-488909.55</v>
      </c>
      <c r="AB160" s="157">
        <f t="shared" si="507"/>
        <v>-488909.55</v>
      </c>
      <c r="AC160" s="156">
        <f>VLOOKUP(A160,AuxOPEXSaneparOriginal!$B$4:$AP$177,41,0)</f>
        <v>0</v>
      </c>
      <c r="AD160" s="156">
        <f>+VLOOKUP(A160,AuxOPEXSaneparOriginal!$B$4:$AQ$177,42,0)</f>
        <v>0</v>
      </c>
      <c r="AE160" s="156">
        <f>VLOOKUP(A160,AuxOPEXSaneparOriginal!$B$4:$AR$177,43,0)</f>
        <v>0</v>
      </c>
      <c r="AF160" s="156">
        <f>+VLOOKUP(A160,AuxOPEXSaneparOriginal!$B$4:$AS$177,44,0)</f>
        <v>0</v>
      </c>
      <c r="AG160" s="146">
        <f>VLOOKUP(A160,AuxOPEXSaneparOriginal!$B$4:$AT$177,45,0)</f>
        <v>0</v>
      </c>
      <c r="AH160" s="146">
        <f>VLOOKUP(A160,AuxOPEXSaneparOriginal!$B$4:$AU$177,46,0)</f>
        <v>0</v>
      </c>
      <c r="AI160" s="146">
        <f>VLOOKUP(A160,AuxOPEXSaneparOriginal!$B$4:$AV$177,47,0)</f>
        <v>-9027694.4800000004</v>
      </c>
      <c r="AJ160" s="157">
        <f t="shared" si="508"/>
        <v>-9027694.4800000004</v>
      </c>
      <c r="AK160" s="157">
        <f t="shared" si="490"/>
        <v>-3238468.1850000005</v>
      </c>
      <c r="AL160" s="157">
        <f t="shared" si="491"/>
        <v>-4758302.0150000006</v>
      </c>
      <c r="AM160" s="144"/>
      <c r="AN160" s="167">
        <f t="shared" si="496"/>
        <v>0</v>
      </c>
      <c r="AO160" s="168">
        <f t="shared" si="497"/>
        <v>0</v>
      </c>
      <c r="AP160" s="57">
        <f t="shared" si="498"/>
        <v>0</v>
      </c>
      <c r="AQ160" s="57">
        <f t="shared" si="499"/>
        <v>0</v>
      </c>
      <c r="AR160" s="57">
        <f t="shared" si="500"/>
        <v>0</v>
      </c>
      <c r="AS160" s="57">
        <f t="shared" si="501"/>
        <v>0</v>
      </c>
      <c r="AT160" s="57">
        <f t="shared" si="502"/>
        <v>0</v>
      </c>
      <c r="AU160" s="157">
        <f t="shared" si="446"/>
        <v>0</v>
      </c>
      <c r="AV160" s="57">
        <f t="shared" si="447"/>
        <v>0</v>
      </c>
      <c r="AW160" s="57">
        <f t="shared" si="448"/>
        <v>0</v>
      </c>
      <c r="AX160" s="57">
        <f t="shared" si="449"/>
        <v>0</v>
      </c>
      <c r="AY160" s="57">
        <f t="shared" si="450"/>
        <v>0</v>
      </c>
      <c r="AZ160" s="57">
        <f t="shared" si="451"/>
        <v>0</v>
      </c>
      <c r="BA160" s="57">
        <f t="shared" si="452"/>
        <v>0</v>
      </c>
      <c r="BB160" s="57">
        <f t="shared" si="453"/>
        <v>0</v>
      </c>
      <c r="BC160" s="157">
        <f t="shared" si="454"/>
        <v>0</v>
      </c>
      <c r="BD160" s="57">
        <f t="shared" si="455"/>
        <v>0</v>
      </c>
      <c r="BE160" s="57">
        <f t="shared" si="456"/>
        <v>0</v>
      </c>
      <c r="BF160" s="57">
        <f t="shared" si="457"/>
        <v>0</v>
      </c>
      <c r="BG160" s="57">
        <f t="shared" si="458"/>
        <v>0</v>
      </c>
      <c r="BH160" s="57">
        <f t="shared" si="459"/>
        <v>0</v>
      </c>
      <c r="BI160" s="57">
        <f t="shared" si="460"/>
        <v>0</v>
      </c>
      <c r="BJ160" s="57">
        <f t="shared" si="461"/>
        <v>0</v>
      </c>
      <c r="BK160" s="157">
        <f t="shared" si="462"/>
        <v>0</v>
      </c>
      <c r="BL160" s="57">
        <f t="shared" si="463"/>
        <v>0</v>
      </c>
      <c r="BM160" s="57">
        <f t="shared" si="464"/>
        <v>0</v>
      </c>
      <c r="BN160" s="57">
        <f t="shared" si="465"/>
        <v>0</v>
      </c>
      <c r="BO160" s="57">
        <f t="shared" si="466"/>
        <v>0</v>
      </c>
      <c r="BP160" s="57">
        <f t="shared" si="467"/>
        <v>0</v>
      </c>
      <c r="BQ160" s="57">
        <f t="shared" si="468"/>
        <v>0</v>
      </c>
      <c r="BR160" s="57">
        <f t="shared" si="469"/>
        <v>0</v>
      </c>
      <c r="BS160" s="157">
        <f t="shared" si="470"/>
        <v>0</v>
      </c>
      <c r="BT160" s="157">
        <f t="shared" si="344"/>
        <v>0</v>
      </c>
      <c r="BU160" s="157">
        <f t="shared" si="345"/>
        <v>0</v>
      </c>
      <c r="BV160" s="144"/>
      <c r="BW160" s="158">
        <f t="shared" si="509"/>
        <v>0</v>
      </c>
      <c r="BX160" s="159">
        <f t="shared" si="510"/>
        <v>0</v>
      </c>
      <c r="BY160" s="159">
        <f t="shared" si="511"/>
        <v>0</v>
      </c>
      <c r="BZ160" s="159">
        <f t="shared" si="512"/>
        <v>0</v>
      </c>
      <c r="CA160" s="158">
        <f t="shared" si="475"/>
        <v>0</v>
      </c>
      <c r="CB160" s="157">
        <f t="shared" si="476"/>
        <v>0</v>
      </c>
      <c r="CC160" s="144"/>
      <c r="CD160" s="158">
        <f t="shared" si="513"/>
        <v>0</v>
      </c>
      <c r="CE160" s="159">
        <f t="shared" si="514"/>
        <v>0</v>
      </c>
      <c r="CF160" s="159">
        <f t="shared" si="515"/>
        <v>0</v>
      </c>
      <c r="CG160" s="159">
        <f t="shared" si="503"/>
        <v>0</v>
      </c>
      <c r="CH160" s="158">
        <f t="shared" si="504"/>
        <v>0</v>
      </c>
      <c r="CI160" s="157">
        <f t="shared" si="481"/>
        <v>0</v>
      </c>
      <c r="CK160" s="61">
        <f t="shared" si="482"/>
        <v>0</v>
      </c>
      <c r="CL160" s="62">
        <f t="shared" si="483"/>
        <v>0</v>
      </c>
      <c r="CM160" s="63">
        <f t="shared" si="484"/>
        <v>0</v>
      </c>
      <c r="CN160" s="61">
        <f t="shared" si="485"/>
        <v>0</v>
      </c>
      <c r="CO160" s="29"/>
      <c r="CP160" s="61">
        <f t="shared" si="516"/>
        <v>0</v>
      </c>
      <c r="CQ160" s="62">
        <f t="shared" si="517"/>
        <v>0</v>
      </c>
      <c r="CR160" s="63">
        <f t="shared" si="518"/>
        <v>0</v>
      </c>
      <c r="CS160" s="61">
        <f t="shared" si="519"/>
        <v>0</v>
      </c>
      <c r="CU160" s="60">
        <f t="shared" si="492"/>
        <v>0</v>
      </c>
      <c r="CV160" s="132">
        <f t="shared" si="493"/>
        <v>0</v>
      </c>
      <c r="CW160" s="132">
        <f t="shared" si="494"/>
        <v>0</v>
      </c>
      <c r="CX160" s="131">
        <f t="shared" si="495"/>
        <v>0</v>
      </c>
    </row>
    <row r="161" spans="1:102">
      <c r="A161" s="214">
        <v>951</v>
      </c>
      <c r="B161" s="214" t="s">
        <v>6</v>
      </c>
      <c r="C161" s="215" t="s">
        <v>193</v>
      </c>
      <c r="D161" s="216">
        <v>1</v>
      </c>
      <c r="E161" s="57">
        <f>VLOOKUP(A161,AuxOPEXSaneparOriginal!$B$4:$F$177,3,0)</f>
        <v>0</v>
      </c>
      <c r="F161" s="156">
        <f>VLOOKUP(A161,AuxOPEXSaneparOriginal!$B$4:$F$177,4,0)</f>
        <v>0</v>
      </c>
      <c r="G161" s="57">
        <f>VLOOKUP(A161,AuxOPEXSaneparOriginal!$B$4:$K$177,8,0)</f>
        <v>0</v>
      </c>
      <c r="H161" s="156">
        <f>VLOOKUP(A161,AuxOPEXSaneparOriginal!$B$4:$K$177,9,0)</f>
        <v>0</v>
      </c>
      <c r="I161" s="57">
        <f>VLOOKUP(A161,AuxOPEXSaneparOriginal!$B$4:$N$177,13,0)</f>
        <v>0</v>
      </c>
      <c r="J161" s="57">
        <f>VLOOKUP(A161,AuxOPEXSaneparOriginal!$B$4:$Q$177,16,0)</f>
        <v>0</v>
      </c>
      <c r="K161" s="57">
        <f>VLOOKUP(A161,AuxOPEXSaneparOriginal!$B$4:$V$177,21,0)</f>
        <v>213844.35</v>
      </c>
      <c r="L161" s="157">
        <f t="shared" si="505"/>
        <v>213844.35</v>
      </c>
      <c r="M161" s="19">
        <f>VLOOKUP(A161,AuxOPEXSaneparOriginal!$B$4:$AB$177,27,0)</f>
        <v>0</v>
      </c>
      <c r="N161" s="156">
        <f>VLOOKUP(A161,AuxOPEXSaneparOriginal!$B$4:$AC$177,28,0)</f>
        <v>0</v>
      </c>
      <c r="O161" s="156">
        <f>VLOOKUP(A161,AuxOPEXSaneparOriginal!$B$4:$AD$177,29,0)</f>
        <v>0</v>
      </c>
      <c r="P161" s="156">
        <f>VLOOKUP(A161,AuxOPEXSaneparOriginal!$B$4:$AE$177,30,0)</f>
        <v>0</v>
      </c>
      <c r="Q161" s="146">
        <f>VLOOKUP(A161,AuxOPEXSaneparOriginal!$B$4:$AF$177,31,0)</f>
        <v>0</v>
      </c>
      <c r="R161" s="146">
        <f>VLOOKUP(A161,AuxOPEXSaneparOriginal!$B$4:$AG$177,32,0)</f>
        <v>0</v>
      </c>
      <c r="S161" s="146">
        <f>VLOOKUP(A161,AuxOPEXSaneparOriginal!$B$4:$AH$177,33,0)</f>
        <v>0</v>
      </c>
      <c r="T161" s="157">
        <f t="shared" si="506"/>
        <v>0</v>
      </c>
      <c r="U161" s="156">
        <f>VLOOKUP(A161,AuxOPEXSaneparOriginal!$B$4:$AI$177,34,0)</f>
        <v>0</v>
      </c>
      <c r="V161" s="156">
        <f>VLOOKUP(A161,AuxOPEXSaneparOriginal!$B$4:$AJ$177,35,0)</f>
        <v>0</v>
      </c>
      <c r="W161" s="156">
        <f>VLOOKUP(A161,AuxOPEXSaneparOriginal!$B$4:$AK$177,36,0)</f>
        <v>0</v>
      </c>
      <c r="X161" s="19">
        <f>+VLOOKUP(A161,AuxOPEXSaneparOriginal!$B$4:$AL$177,37,0)</f>
        <v>0</v>
      </c>
      <c r="Y161" s="146">
        <f>VLOOKUP(A161,AuxOPEXSaneparOriginal!$B$4:$AM$177,38,0)</f>
        <v>0</v>
      </c>
      <c r="Z161" s="146">
        <f>VLOOKUP(A161,AuxOPEXSaneparOriginal!$B$4:$AN$177,39,0)</f>
        <v>0</v>
      </c>
      <c r="AA161" s="146">
        <f>VLOOKUP(A161,AuxOPEXSaneparOriginal!$B$4:$AO$177,40,0)</f>
        <v>0</v>
      </c>
      <c r="AB161" s="157">
        <f t="shared" si="507"/>
        <v>0</v>
      </c>
      <c r="AC161" s="156">
        <f>VLOOKUP(A161,AuxOPEXSaneparOriginal!$B$4:$AP$177,41,0)</f>
        <v>0</v>
      </c>
      <c r="AD161" s="156">
        <f>+VLOOKUP(A161,AuxOPEXSaneparOriginal!$B$4:$AQ$177,42,0)</f>
        <v>0</v>
      </c>
      <c r="AE161" s="156">
        <f>VLOOKUP(A161,AuxOPEXSaneparOriginal!$B$4:$AR$177,43,0)</f>
        <v>0</v>
      </c>
      <c r="AF161" s="156">
        <f>+VLOOKUP(A161,AuxOPEXSaneparOriginal!$B$4:$AS$177,44,0)</f>
        <v>0</v>
      </c>
      <c r="AG161" s="146">
        <f>VLOOKUP(A161,AuxOPEXSaneparOriginal!$B$4:$AT$177,45,0)</f>
        <v>0</v>
      </c>
      <c r="AH161" s="146">
        <f>VLOOKUP(A161,AuxOPEXSaneparOriginal!$B$4:$AU$177,46,0)</f>
        <v>0</v>
      </c>
      <c r="AI161" s="146">
        <f>VLOOKUP(A161,AuxOPEXSaneparOriginal!$B$4:$AV$177,47,0)</f>
        <v>0</v>
      </c>
      <c r="AJ161" s="157">
        <f t="shared" si="508"/>
        <v>0</v>
      </c>
      <c r="AK161" s="157">
        <f t="shared" si="490"/>
        <v>53461.087500000001</v>
      </c>
      <c r="AL161" s="157">
        <f t="shared" si="491"/>
        <v>0</v>
      </c>
      <c r="AM161" s="144"/>
      <c r="AN161" s="167">
        <f t="shared" si="496"/>
        <v>0</v>
      </c>
      <c r="AO161" s="168">
        <f t="shared" si="497"/>
        <v>0</v>
      </c>
      <c r="AP161" s="57">
        <f t="shared" si="498"/>
        <v>0</v>
      </c>
      <c r="AQ161" s="57">
        <f t="shared" si="499"/>
        <v>0</v>
      </c>
      <c r="AR161" s="57">
        <f t="shared" si="500"/>
        <v>0</v>
      </c>
      <c r="AS161" s="57">
        <f t="shared" si="501"/>
        <v>0</v>
      </c>
      <c r="AT161" s="57">
        <f t="shared" si="502"/>
        <v>0</v>
      </c>
      <c r="AU161" s="157">
        <f t="shared" si="446"/>
        <v>0</v>
      </c>
      <c r="AV161" s="57">
        <f t="shared" si="447"/>
        <v>0</v>
      </c>
      <c r="AW161" s="57">
        <f t="shared" si="448"/>
        <v>0</v>
      </c>
      <c r="AX161" s="57">
        <f t="shared" si="449"/>
        <v>0</v>
      </c>
      <c r="AY161" s="57">
        <f t="shared" si="450"/>
        <v>0</v>
      </c>
      <c r="AZ161" s="57">
        <f t="shared" si="451"/>
        <v>0</v>
      </c>
      <c r="BA161" s="57">
        <f t="shared" si="452"/>
        <v>0</v>
      </c>
      <c r="BB161" s="57">
        <f t="shared" si="453"/>
        <v>0</v>
      </c>
      <c r="BC161" s="157">
        <f t="shared" si="454"/>
        <v>0</v>
      </c>
      <c r="BD161" s="57">
        <f t="shared" si="455"/>
        <v>0</v>
      </c>
      <c r="BE161" s="57">
        <f t="shared" si="456"/>
        <v>0</v>
      </c>
      <c r="BF161" s="57">
        <f t="shared" si="457"/>
        <v>0</v>
      </c>
      <c r="BG161" s="57">
        <f t="shared" si="458"/>
        <v>0</v>
      </c>
      <c r="BH161" s="57">
        <f t="shared" si="459"/>
        <v>0</v>
      </c>
      <c r="BI161" s="57">
        <f t="shared" si="460"/>
        <v>0</v>
      </c>
      <c r="BJ161" s="57">
        <f t="shared" si="461"/>
        <v>0</v>
      </c>
      <c r="BK161" s="157">
        <f t="shared" si="462"/>
        <v>0</v>
      </c>
      <c r="BL161" s="57">
        <f t="shared" si="463"/>
        <v>0</v>
      </c>
      <c r="BM161" s="57">
        <f t="shared" si="464"/>
        <v>0</v>
      </c>
      <c r="BN161" s="57">
        <f t="shared" si="465"/>
        <v>0</v>
      </c>
      <c r="BO161" s="57">
        <f t="shared" si="466"/>
        <v>0</v>
      </c>
      <c r="BP161" s="57">
        <f t="shared" si="467"/>
        <v>0</v>
      </c>
      <c r="BQ161" s="57">
        <f t="shared" si="468"/>
        <v>0</v>
      </c>
      <c r="BR161" s="57">
        <f t="shared" si="469"/>
        <v>0</v>
      </c>
      <c r="BS161" s="157">
        <f t="shared" si="470"/>
        <v>0</v>
      </c>
      <c r="BT161" s="157">
        <f t="shared" si="344"/>
        <v>0</v>
      </c>
      <c r="BU161" s="157">
        <f t="shared" si="345"/>
        <v>0</v>
      </c>
      <c r="BV161" s="144"/>
      <c r="BW161" s="158">
        <f t="shared" si="509"/>
        <v>0</v>
      </c>
      <c r="BX161" s="159">
        <f t="shared" si="510"/>
        <v>0</v>
      </c>
      <c r="BY161" s="159">
        <f t="shared" si="511"/>
        <v>0</v>
      </c>
      <c r="BZ161" s="159">
        <f t="shared" si="512"/>
        <v>0</v>
      </c>
      <c r="CA161" s="158">
        <f t="shared" si="475"/>
        <v>0</v>
      </c>
      <c r="CB161" s="157">
        <f t="shared" si="476"/>
        <v>0</v>
      </c>
      <c r="CC161" s="144"/>
      <c r="CD161" s="158">
        <f t="shared" si="513"/>
        <v>0</v>
      </c>
      <c r="CE161" s="159">
        <f t="shared" si="514"/>
        <v>0</v>
      </c>
      <c r="CF161" s="159">
        <f t="shared" si="515"/>
        <v>0</v>
      </c>
      <c r="CG161" s="159">
        <f t="shared" si="503"/>
        <v>0</v>
      </c>
      <c r="CH161" s="158">
        <f t="shared" si="504"/>
        <v>0</v>
      </c>
      <c r="CI161" s="157">
        <f t="shared" si="481"/>
        <v>0</v>
      </c>
      <c r="CK161" s="61">
        <f t="shared" si="482"/>
        <v>0</v>
      </c>
      <c r="CL161" s="62">
        <f t="shared" si="483"/>
        <v>0</v>
      </c>
      <c r="CM161" s="63">
        <f t="shared" si="484"/>
        <v>0</v>
      </c>
      <c r="CN161" s="61">
        <f t="shared" si="485"/>
        <v>0</v>
      </c>
      <c r="CO161" s="29"/>
      <c r="CP161" s="61">
        <f t="shared" si="516"/>
        <v>0</v>
      </c>
      <c r="CQ161" s="62">
        <f t="shared" si="517"/>
        <v>0</v>
      </c>
      <c r="CR161" s="63">
        <f t="shared" si="518"/>
        <v>0</v>
      </c>
      <c r="CS161" s="61">
        <f t="shared" si="519"/>
        <v>0</v>
      </c>
      <c r="CU161" s="60">
        <f t="shared" si="492"/>
        <v>0</v>
      </c>
      <c r="CV161" s="132">
        <f t="shared" si="493"/>
        <v>0</v>
      </c>
      <c r="CW161" s="132">
        <f t="shared" si="494"/>
        <v>0</v>
      </c>
      <c r="CX161" s="131">
        <f t="shared" si="495"/>
        <v>0</v>
      </c>
    </row>
    <row r="162" spans="1:102">
      <c r="A162" s="214">
        <v>952</v>
      </c>
      <c r="B162" s="214" t="s">
        <v>6</v>
      </c>
      <c r="C162" s="215" t="s">
        <v>194</v>
      </c>
      <c r="D162" s="216">
        <v>1</v>
      </c>
      <c r="E162" s="57">
        <f>VLOOKUP(A162,AuxOPEXSaneparOriginal!$B$4:$F$177,3,0)</f>
        <v>0</v>
      </c>
      <c r="F162" s="156">
        <f>VLOOKUP(A162,AuxOPEXSaneparOriginal!$B$4:$F$177,4,0)</f>
        <v>0</v>
      </c>
      <c r="G162" s="57">
        <f>VLOOKUP(A162,AuxOPEXSaneparOriginal!$B$4:$K$177,8,0)</f>
        <v>0</v>
      </c>
      <c r="H162" s="156">
        <f>VLOOKUP(A162,AuxOPEXSaneparOriginal!$B$4:$K$177,9,0)</f>
        <v>0</v>
      </c>
      <c r="I162" s="57">
        <f>VLOOKUP(A162,AuxOPEXSaneparOriginal!$B$4:$N$177,13,0)</f>
        <v>0</v>
      </c>
      <c r="J162" s="57">
        <f>VLOOKUP(A162,AuxOPEXSaneparOriginal!$B$4:$Q$177,16,0)</f>
        <v>0</v>
      </c>
      <c r="K162" s="57">
        <f>VLOOKUP(A162,AuxOPEXSaneparOriginal!$B$4:$V$177,21,0)</f>
        <v>9757206.9999999814</v>
      </c>
      <c r="L162" s="157">
        <f t="shared" si="505"/>
        <v>9757206.9999999814</v>
      </c>
      <c r="M162" s="19">
        <f>VLOOKUP(A162,AuxOPEXSaneparOriginal!$B$4:$AB$177,27,0)</f>
        <v>0</v>
      </c>
      <c r="N162" s="156">
        <f>VLOOKUP(A162,AuxOPEXSaneparOriginal!$B$4:$AC$177,28,0)</f>
        <v>0</v>
      </c>
      <c r="O162" s="156">
        <f>VLOOKUP(A162,AuxOPEXSaneparOriginal!$B$4:$AD$177,29,0)</f>
        <v>0</v>
      </c>
      <c r="P162" s="156">
        <f>VLOOKUP(A162,AuxOPEXSaneparOriginal!$B$4:$AE$177,30,0)</f>
        <v>0</v>
      </c>
      <c r="Q162" s="146">
        <f>VLOOKUP(A162,AuxOPEXSaneparOriginal!$B$4:$AF$177,31,0)</f>
        <v>0</v>
      </c>
      <c r="R162" s="146">
        <f>VLOOKUP(A162,AuxOPEXSaneparOriginal!$B$4:$AG$177,32,0)</f>
        <v>0</v>
      </c>
      <c r="S162" s="146">
        <f>VLOOKUP(A162,AuxOPEXSaneparOriginal!$B$4:$AH$177,33,0)</f>
        <v>10587320.839999998</v>
      </c>
      <c r="T162" s="157">
        <f t="shared" si="506"/>
        <v>10587320.839999998</v>
      </c>
      <c r="U162" s="156">
        <f>VLOOKUP(A162,AuxOPEXSaneparOriginal!$B$4:$AI$177,34,0)</f>
        <v>0</v>
      </c>
      <c r="V162" s="156">
        <f>VLOOKUP(A162,AuxOPEXSaneparOriginal!$B$4:$AJ$177,35,0)</f>
        <v>0</v>
      </c>
      <c r="W162" s="156">
        <f>VLOOKUP(A162,AuxOPEXSaneparOriginal!$B$4:$AK$177,36,0)</f>
        <v>0</v>
      </c>
      <c r="X162" s="19">
        <f>+VLOOKUP(A162,AuxOPEXSaneparOriginal!$B$4:$AL$177,37,0)</f>
        <v>0</v>
      </c>
      <c r="Y162" s="146">
        <f>VLOOKUP(A162,AuxOPEXSaneparOriginal!$B$4:$AM$177,38,0)</f>
        <v>0</v>
      </c>
      <c r="Z162" s="146">
        <f>VLOOKUP(A162,AuxOPEXSaneparOriginal!$B$4:$AN$177,39,0)</f>
        <v>0</v>
      </c>
      <c r="AA162" s="146">
        <f>VLOOKUP(A162,AuxOPEXSaneparOriginal!$B$4:$AO$177,40,0)</f>
        <v>10707445.330000004</v>
      </c>
      <c r="AB162" s="157">
        <f t="shared" si="507"/>
        <v>10707445.330000004</v>
      </c>
      <c r="AC162" s="156">
        <f>VLOOKUP(A162,AuxOPEXSaneparOriginal!$B$4:$AP$177,41,0)</f>
        <v>0</v>
      </c>
      <c r="AD162" s="156">
        <f>+VLOOKUP(A162,AuxOPEXSaneparOriginal!$B$4:$AQ$177,42,0)</f>
        <v>0</v>
      </c>
      <c r="AE162" s="156">
        <f>VLOOKUP(A162,AuxOPEXSaneparOriginal!$B$4:$AR$177,43,0)</f>
        <v>0</v>
      </c>
      <c r="AF162" s="156">
        <f>+VLOOKUP(A162,AuxOPEXSaneparOriginal!$B$4:$AS$177,44,0)</f>
        <v>0</v>
      </c>
      <c r="AG162" s="146">
        <f>VLOOKUP(A162,AuxOPEXSaneparOriginal!$B$4:$AT$177,45,0)</f>
        <v>0</v>
      </c>
      <c r="AH162" s="146">
        <f>VLOOKUP(A162,AuxOPEXSaneparOriginal!$B$4:$AU$177,46,0)</f>
        <v>0</v>
      </c>
      <c r="AI162" s="146">
        <f>VLOOKUP(A162,AuxOPEXSaneparOriginal!$B$4:$AV$177,47,0)</f>
        <v>11339814.410000008</v>
      </c>
      <c r="AJ162" s="157">
        <f t="shared" si="508"/>
        <v>11339814.410000008</v>
      </c>
      <c r="AK162" s="157">
        <f t="shared" si="490"/>
        <v>10597946.894999996</v>
      </c>
      <c r="AL162" s="157">
        <f t="shared" si="491"/>
        <v>11023629.870000005</v>
      </c>
      <c r="AM162" s="144"/>
      <c r="AN162" s="167">
        <f t="shared" si="496"/>
        <v>0</v>
      </c>
      <c r="AO162" s="168">
        <f t="shared" si="497"/>
        <v>0</v>
      </c>
      <c r="AP162" s="57">
        <f t="shared" si="498"/>
        <v>0</v>
      </c>
      <c r="AQ162" s="57">
        <f t="shared" si="499"/>
        <v>0</v>
      </c>
      <c r="AR162" s="57">
        <f t="shared" si="500"/>
        <v>0</v>
      </c>
      <c r="AS162" s="57">
        <f t="shared" si="501"/>
        <v>0</v>
      </c>
      <c r="AT162" s="57">
        <f t="shared" si="502"/>
        <v>0</v>
      </c>
      <c r="AU162" s="157">
        <f t="shared" si="446"/>
        <v>0</v>
      </c>
      <c r="AV162" s="57">
        <f t="shared" si="447"/>
        <v>0</v>
      </c>
      <c r="AW162" s="57">
        <f t="shared" si="448"/>
        <v>0</v>
      </c>
      <c r="AX162" s="57">
        <f t="shared" si="449"/>
        <v>0</v>
      </c>
      <c r="AY162" s="57">
        <f t="shared" si="450"/>
        <v>0</v>
      </c>
      <c r="AZ162" s="57">
        <f t="shared" si="451"/>
        <v>0</v>
      </c>
      <c r="BA162" s="57">
        <f t="shared" si="452"/>
        <v>0</v>
      </c>
      <c r="BB162" s="57">
        <f t="shared" si="453"/>
        <v>0</v>
      </c>
      <c r="BC162" s="157">
        <f t="shared" si="454"/>
        <v>0</v>
      </c>
      <c r="BD162" s="57">
        <f t="shared" si="455"/>
        <v>0</v>
      </c>
      <c r="BE162" s="57">
        <f t="shared" si="456"/>
        <v>0</v>
      </c>
      <c r="BF162" s="57">
        <f t="shared" si="457"/>
        <v>0</v>
      </c>
      <c r="BG162" s="57">
        <f t="shared" si="458"/>
        <v>0</v>
      </c>
      <c r="BH162" s="57">
        <f t="shared" si="459"/>
        <v>0</v>
      </c>
      <c r="BI162" s="57">
        <f t="shared" si="460"/>
        <v>0</v>
      </c>
      <c r="BJ162" s="57">
        <f t="shared" si="461"/>
        <v>0</v>
      </c>
      <c r="BK162" s="157">
        <f t="shared" si="462"/>
        <v>0</v>
      </c>
      <c r="BL162" s="57">
        <f t="shared" si="463"/>
        <v>0</v>
      </c>
      <c r="BM162" s="57">
        <f t="shared" si="464"/>
        <v>0</v>
      </c>
      <c r="BN162" s="57">
        <f t="shared" si="465"/>
        <v>0</v>
      </c>
      <c r="BO162" s="57">
        <f t="shared" si="466"/>
        <v>0</v>
      </c>
      <c r="BP162" s="57">
        <f t="shared" si="467"/>
        <v>0</v>
      </c>
      <c r="BQ162" s="57">
        <f t="shared" si="468"/>
        <v>0</v>
      </c>
      <c r="BR162" s="57">
        <f t="shared" si="469"/>
        <v>0</v>
      </c>
      <c r="BS162" s="157">
        <f t="shared" si="470"/>
        <v>0</v>
      </c>
      <c r="BT162" s="157">
        <f t="shared" si="344"/>
        <v>0</v>
      </c>
      <c r="BU162" s="157">
        <f t="shared" si="345"/>
        <v>0</v>
      </c>
      <c r="BV162" s="144"/>
      <c r="BW162" s="158">
        <f t="shared" si="509"/>
        <v>0</v>
      </c>
      <c r="BX162" s="159">
        <f t="shared" si="510"/>
        <v>0</v>
      </c>
      <c r="BY162" s="159">
        <f t="shared" si="511"/>
        <v>0</v>
      </c>
      <c r="BZ162" s="159">
        <f t="shared" si="512"/>
        <v>0</v>
      </c>
      <c r="CA162" s="158">
        <f t="shared" si="475"/>
        <v>0</v>
      </c>
      <c r="CB162" s="157">
        <f t="shared" si="476"/>
        <v>0</v>
      </c>
      <c r="CC162" s="144"/>
      <c r="CD162" s="158">
        <f t="shared" si="513"/>
        <v>0</v>
      </c>
      <c r="CE162" s="159">
        <f t="shared" si="514"/>
        <v>0</v>
      </c>
      <c r="CF162" s="159">
        <f t="shared" si="515"/>
        <v>0</v>
      </c>
      <c r="CG162" s="159">
        <f t="shared" si="503"/>
        <v>0</v>
      </c>
      <c r="CH162" s="158">
        <f t="shared" si="504"/>
        <v>0</v>
      </c>
      <c r="CI162" s="157">
        <f t="shared" si="481"/>
        <v>0</v>
      </c>
      <c r="CK162" s="61">
        <f t="shared" si="482"/>
        <v>0</v>
      </c>
      <c r="CL162" s="62">
        <f t="shared" si="483"/>
        <v>0</v>
      </c>
      <c r="CM162" s="63">
        <f t="shared" si="484"/>
        <v>0</v>
      </c>
      <c r="CN162" s="61">
        <f t="shared" si="485"/>
        <v>0</v>
      </c>
      <c r="CO162" s="29"/>
      <c r="CP162" s="61">
        <f t="shared" si="516"/>
        <v>0</v>
      </c>
      <c r="CQ162" s="62">
        <f t="shared" si="517"/>
        <v>0</v>
      </c>
      <c r="CR162" s="63">
        <f t="shared" si="518"/>
        <v>0</v>
      </c>
      <c r="CS162" s="61">
        <f t="shared" si="519"/>
        <v>0</v>
      </c>
      <c r="CU162" s="60">
        <f t="shared" si="492"/>
        <v>0</v>
      </c>
      <c r="CV162" s="132">
        <f t="shared" si="493"/>
        <v>0</v>
      </c>
      <c r="CW162" s="132">
        <f t="shared" si="494"/>
        <v>0</v>
      </c>
      <c r="CX162" s="131">
        <f t="shared" si="495"/>
        <v>0</v>
      </c>
    </row>
    <row r="163" spans="1:102">
      <c r="A163" s="214">
        <v>953</v>
      </c>
      <c r="B163" s="214" t="s">
        <v>6</v>
      </c>
      <c r="C163" s="215" t="s">
        <v>195</v>
      </c>
      <c r="D163" s="216">
        <v>1</v>
      </c>
      <c r="E163" s="57">
        <f>VLOOKUP(A163,AuxOPEXSaneparOriginal!$B$4:$F$177,3,0)</f>
        <v>0</v>
      </c>
      <c r="F163" s="156">
        <f>VLOOKUP(A163,AuxOPEXSaneparOriginal!$B$4:$F$177,4,0)</f>
        <v>0</v>
      </c>
      <c r="G163" s="57">
        <f>VLOOKUP(A163,AuxOPEXSaneparOriginal!$B$4:$K$177,8,0)</f>
        <v>0</v>
      </c>
      <c r="H163" s="156">
        <f>VLOOKUP(A163,AuxOPEXSaneparOriginal!$B$4:$K$177,9,0)</f>
        <v>0</v>
      </c>
      <c r="I163" s="57">
        <f>VLOOKUP(A163,AuxOPEXSaneparOriginal!$B$4:$N$177,13,0)</f>
        <v>0</v>
      </c>
      <c r="J163" s="57">
        <f>VLOOKUP(A163,AuxOPEXSaneparOriginal!$B$4:$Q$177,16,0)</f>
        <v>0</v>
      </c>
      <c r="K163" s="57">
        <f>VLOOKUP(A163,AuxOPEXSaneparOriginal!$B$4:$V$177,21,0)</f>
        <v>17480.8</v>
      </c>
      <c r="L163" s="157">
        <f t="shared" si="505"/>
        <v>17480.8</v>
      </c>
      <c r="M163" s="19">
        <f>VLOOKUP(A163,AuxOPEXSaneparOriginal!$B$4:$AB$177,27,0)</f>
        <v>0</v>
      </c>
      <c r="N163" s="156">
        <f>VLOOKUP(A163,AuxOPEXSaneparOriginal!$B$4:$AC$177,28,0)</f>
        <v>0</v>
      </c>
      <c r="O163" s="156">
        <f>VLOOKUP(A163,AuxOPEXSaneparOriginal!$B$4:$AD$177,29,0)</f>
        <v>0</v>
      </c>
      <c r="P163" s="156">
        <f>VLOOKUP(A163,AuxOPEXSaneparOriginal!$B$4:$AE$177,30,0)</f>
        <v>0</v>
      </c>
      <c r="Q163" s="146">
        <f>VLOOKUP(A163,AuxOPEXSaneparOriginal!$B$4:$AF$177,31,0)</f>
        <v>0</v>
      </c>
      <c r="R163" s="146">
        <f>VLOOKUP(A163,AuxOPEXSaneparOriginal!$B$4:$AG$177,32,0)</f>
        <v>0</v>
      </c>
      <c r="S163" s="146">
        <f>VLOOKUP(A163,AuxOPEXSaneparOriginal!$B$4:$AH$177,33,0)</f>
        <v>106678.77</v>
      </c>
      <c r="T163" s="157">
        <f t="shared" si="506"/>
        <v>106678.77</v>
      </c>
      <c r="U163" s="156">
        <f>VLOOKUP(A163,AuxOPEXSaneparOriginal!$B$4:$AI$177,34,0)</f>
        <v>0</v>
      </c>
      <c r="V163" s="156">
        <f>VLOOKUP(A163,AuxOPEXSaneparOriginal!$B$4:$AJ$177,35,0)</f>
        <v>0</v>
      </c>
      <c r="W163" s="156">
        <f>VLOOKUP(A163,AuxOPEXSaneparOriginal!$B$4:$AK$177,36,0)</f>
        <v>0</v>
      </c>
      <c r="X163" s="19">
        <f>+VLOOKUP(A163,AuxOPEXSaneparOriginal!$B$4:$AL$177,37,0)</f>
        <v>0</v>
      </c>
      <c r="Y163" s="146">
        <f>VLOOKUP(A163,AuxOPEXSaneparOriginal!$B$4:$AM$177,38,0)</f>
        <v>0</v>
      </c>
      <c r="Z163" s="146">
        <f>VLOOKUP(A163,AuxOPEXSaneparOriginal!$B$4:$AN$177,39,0)</f>
        <v>0</v>
      </c>
      <c r="AA163" s="146">
        <f>VLOOKUP(A163,AuxOPEXSaneparOriginal!$B$4:$AO$177,40,0)</f>
        <v>1244421.1200000001</v>
      </c>
      <c r="AB163" s="157">
        <f t="shared" si="507"/>
        <v>1244421.1200000001</v>
      </c>
      <c r="AC163" s="156">
        <f>VLOOKUP(A163,AuxOPEXSaneparOriginal!$B$4:$AP$177,41,0)</f>
        <v>0</v>
      </c>
      <c r="AD163" s="156">
        <f>+VLOOKUP(A163,AuxOPEXSaneparOriginal!$B$4:$AQ$177,42,0)</f>
        <v>0</v>
      </c>
      <c r="AE163" s="156">
        <f>VLOOKUP(A163,AuxOPEXSaneparOriginal!$B$4:$AR$177,43,0)</f>
        <v>0</v>
      </c>
      <c r="AF163" s="156">
        <f>+VLOOKUP(A163,AuxOPEXSaneparOriginal!$B$4:$AS$177,44,0)</f>
        <v>0</v>
      </c>
      <c r="AG163" s="146">
        <f>VLOOKUP(A163,AuxOPEXSaneparOriginal!$B$4:$AT$177,45,0)</f>
        <v>0</v>
      </c>
      <c r="AH163" s="146">
        <f>VLOOKUP(A163,AuxOPEXSaneparOriginal!$B$4:$AU$177,46,0)</f>
        <v>0</v>
      </c>
      <c r="AI163" s="146">
        <f>VLOOKUP(A163,AuxOPEXSaneparOriginal!$B$4:$AV$177,47,0)</f>
        <v>85519.03</v>
      </c>
      <c r="AJ163" s="157">
        <f t="shared" si="508"/>
        <v>85519.03</v>
      </c>
      <c r="AK163" s="157">
        <f t="shared" si="490"/>
        <v>363524.93000000005</v>
      </c>
      <c r="AL163" s="157">
        <f t="shared" si="491"/>
        <v>664970.07500000007</v>
      </c>
      <c r="AM163" s="144"/>
      <c r="AN163" s="167">
        <f t="shared" si="496"/>
        <v>0</v>
      </c>
      <c r="AO163" s="168">
        <f t="shared" si="497"/>
        <v>0</v>
      </c>
      <c r="AP163" s="57">
        <f t="shared" si="498"/>
        <v>0</v>
      </c>
      <c r="AQ163" s="57">
        <f t="shared" si="499"/>
        <v>0</v>
      </c>
      <c r="AR163" s="57">
        <f t="shared" si="500"/>
        <v>0</v>
      </c>
      <c r="AS163" s="57">
        <f t="shared" si="501"/>
        <v>0</v>
      </c>
      <c r="AT163" s="57">
        <f t="shared" si="502"/>
        <v>0</v>
      </c>
      <c r="AU163" s="157">
        <f t="shared" si="446"/>
        <v>0</v>
      </c>
      <c r="AV163" s="57">
        <f t="shared" si="447"/>
        <v>0</v>
      </c>
      <c r="AW163" s="57">
        <f t="shared" si="448"/>
        <v>0</v>
      </c>
      <c r="AX163" s="57">
        <f t="shared" si="449"/>
        <v>0</v>
      </c>
      <c r="AY163" s="57">
        <f t="shared" si="450"/>
        <v>0</v>
      </c>
      <c r="AZ163" s="57">
        <f t="shared" si="451"/>
        <v>0</v>
      </c>
      <c r="BA163" s="57">
        <f t="shared" si="452"/>
        <v>0</v>
      </c>
      <c r="BB163" s="57">
        <f t="shared" si="453"/>
        <v>0</v>
      </c>
      <c r="BC163" s="157">
        <f t="shared" si="454"/>
        <v>0</v>
      </c>
      <c r="BD163" s="57">
        <f t="shared" si="455"/>
        <v>0</v>
      </c>
      <c r="BE163" s="57">
        <f t="shared" si="456"/>
        <v>0</v>
      </c>
      <c r="BF163" s="57">
        <f t="shared" si="457"/>
        <v>0</v>
      </c>
      <c r="BG163" s="57">
        <f t="shared" si="458"/>
        <v>0</v>
      </c>
      <c r="BH163" s="57">
        <f t="shared" si="459"/>
        <v>0</v>
      </c>
      <c r="BI163" s="57">
        <f t="shared" si="460"/>
        <v>0</v>
      </c>
      <c r="BJ163" s="57">
        <f t="shared" si="461"/>
        <v>0</v>
      </c>
      <c r="BK163" s="157">
        <f t="shared" si="462"/>
        <v>0</v>
      </c>
      <c r="BL163" s="57">
        <f t="shared" si="463"/>
        <v>0</v>
      </c>
      <c r="BM163" s="57">
        <f t="shared" si="464"/>
        <v>0</v>
      </c>
      <c r="BN163" s="57">
        <f t="shared" si="465"/>
        <v>0</v>
      </c>
      <c r="BO163" s="57">
        <f t="shared" si="466"/>
        <v>0</v>
      </c>
      <c r="BP163" s="57">
        <f t="shared" si="467"/>
        <v>0</v>
      </c>
      <c r="BQ163" s="57">
        <f t="shared" si="468"/>
        <v>0</v>
      </c>
      <c r="BR163" s="57">
        <f t="shared" si="469"/>
        <v>0</v>
      </c>
      <c r="BS163" s="157">
        <f t="shared" si="470"/>
        <v>0</v>
      </c>
      <c r="BT163" s="157">
        <f t="shared" si="344"/>
        <v>0</v>
      </c>
      <c r="BU163" s="157">
        <f t="shared" si="345"/>
        <v>0</v>
      </c>
      <c r="BV163" s="144"/>
      <c r="BW163" s="158">
        <f t="shared" si="509"/>
        <v>0</v>
      </c>
      <c r="BX163" s="159">
        <f t="shared" si="510"/>
        <v>0</v>
      </c>
      <c r="BY163" s="159">
        <f t="shared" si="511"/>
        <v>0</v>
      </c>
      <c r="BZ163" s="159">
        <f t="shared" si="512"/>
        <v>0</v>
      </c>
      <c r="CA163" s="158">
        <f t="shared" si="475"/>
        <v>0</v>
      </c>
      <c r="CB163" s="157">
        <f t="shared" si="476"/>
        <v>0</v>
      </c>
      <c r="CC163" s="144"/>
      <c r="CD163" s="158">
        <f t="shared" si="513"/>
        <v>0</v>
      </c>
      <c r="CE163" s="159">
        <f t="shared" si="514"/>
        <v>0</v>
      </c>
      <c r="CF163" s="159">
        <f t="shared" si="515"/>
        <v>0</v>
      </c>
      <c r="CG163" s="159">
        <f t="shared" si="503"/>
        <v>0</v>
      </c>
      <c r="CH163" s="158">
        <f t="shared" si="504"/>
        <v>0</v>
      </c>
      <c r="CI163" s="157">
        <f t="shared" si="481"/>
        <v>0</v>
      </c>
      <c r="CK163" s="61">
        <f t="shared" si="482"/>
        <v>0</v>
      </c>
      <c r="CL163" s="62">
        <f t="shared" si="483"/>
        <v>0</v>
      </c>
      <c r="CM163" s="63">
        <f t="shared" si="484"/>
        <v>0</v>
      </c>
      <c r="CN163" s="61">
        <f t="shared" si="485"/>
        <v>0</v>
      </c>
      <c r="CO163" s="29"/>
      <c r="CP163" s="61">
        <f t="shared" si="516"/>
        <v>0</v>
      </c>
      <c r="CQ163" s="62">
        <f t="shared" si="517"/>
        <v>0</v>
      </c>
      <c r="CR163" s="63">
        <f t="shared" si="518"/>
        <v>0</v>
      </c>
      <c r="CS163" s="61">
        <f t="shared" si="519"/>
        <v>0</v>
      </c>
      <c r="CU163" s="60">
        <f t="shared" si="492"/>
        <v>0</v>
      </c>
      <c r="CV163" s="132">
        <f t="shared" si="493"/>
        <v>0</v>
      </c>
      <c r="CW163" s="132">
        <f t="shared" si="494"/>
        <v>0</v>
      </c>
      <c r="CX163" s="131">
        <f t="shared" si="495"/>
        <v>0</v>
      </c>
    </row>
    <row r="164" spans="1:102">
      <c r="A164" s="214">
        <v>954</v>
      </c>
      <c r="B164" s="214" t="s">
        <v>6</v>
      </c>
      <c r="C164" s="215" t="s">
        <v>196</v>
      </c>
      <c r="D164" s="216">
        <v>1</v>
      </c>
      <c r="E164" s="57">
        <f>VLOOKUP(A164,AuxOPEXSaneparOriginal!$B$4:$F$177,3,0)</f>
        <v>0</v>
      </c>
      <c r="F164" s="156">
        <f>VLOOKUP(A164,AuxOPEXSaneparOriginal!$B$4:$F$177,4,0)</f>
        <v>0</v>
      </c>
      <c r="G164" s="57">
        <f>VLOOKUP(A164,AuxOPEXSaneparOriginal!$B$4:$K$177,8,0)</f>
        <v>0</v>
      </c>
      <c r="H164" s="156">
        <f>VLOOKUP(A164,AuxOPEXSaneparOriginal!$B$4:$K$177,9,0)</f>
        <v>0</v>
      </c>
      <c r="I164" s="57">
        <f>VLOOKUP(A164,AuxOPEXSaneparOriginal!$B$4:$N$177,13,0)</f>
        <v>0</v>
      </c>
      <c r="J164" s="57">
        <f>VLOOKUP(A164,AuxOPEXSaneparOriginal!$B$4:$Q$177,16,0)</f>
        <v>0</v>
      </c>
      <c r="K164" s="57">
        <f>VLOOKUP(A164,AuxOPEXSaneparOriginal!$B$4:$V$177,21,0)</f>
        <v>107669.6</v>
      </c>
      <c r="L164" s="157">
        <f t="shared" si="505"/>
        <v>107669.6</v>
      </c>
      <c r="M164" s="19">
        <f>VLOOKUP(A164,AuxOPEXSaneparOriginal!$B$4:$AB$177,27,0)</f>
        <v>0</v>
      </c>
      <c r="N164" s="156">
        <f>VLOOKUP(A164,AuxOPEXSaneparOriginal!$B$4:$AC$177,28,0)</f>
        <v>0</v>
      </c>
      <c r="O164" s="156">
        <f>VLOOKUP(A164,AuxOPEXSaneparOriginal!$B$4:$AD$177,29,0)</f>
        <v>0</v>
      </c>
      <c r="P164" s="156">
        <f>VLOOKUP(A164,AuxOPEXSaneparOriginal!$B$4:$AE$177,30,0)</f>
        <v>0</v>
      </c>
      <c r="Q164" s="146">
        <f>VLOOKUP(A164,AuxOPEXSaneparOriginal!$B$4:$AF$177,31,0)</f>
        <v>0</v>
      </c>
      <c r="R164" s="146">
        <f>VLOOKUP(A164,AuxOPEXSaneparOriginal!$B$4:$AG$177,32,0)</f>
        <v>0</v>
      </c>
      <c r="S164" s="146">
        <f>VLOOKUP(A164,AuxOPEXSaneparOriginal!$B$4:$AH$177,33,0)</f>
        <v>0</v>
      </c>
      <c r="T164" s="157">
        <f t="shared" si="506"/>
        <v>0</v>
      </c>
      <c r="U164" s="156">
        <f>VLOOKUP(A164,AuxOPEXSaneparOriginal!$B$4:$AI$177,34,0)</f>
        <v>0</v>
      </c>
      <c r="V164" s="156">
        <f>VLOOKUP(A164,AuxOPEXSaneparOriginal!$B$4:$AJ$177,35,0)</f>
        <v>0</v>
      </c>
      <c r="W164" s="156">
        <f>VLOOKUP(A164,AuxOPEXSaneparOriginal!$B$4:$AK$177,36,0)</f>
        <v>0</v>
      </c>
      <c r="X164" s="19">
        <f>+VLOOKUP(A164,AuxOPEXSaneparOriginal!$B$4:$AL$177,37,0)</f>
        <v>0</v>
      </c>
      <c r="Y164" s="146">
        <f>VLOOKUP(A164,AuxOPEXSaneparOriginal!$B$4:$AM$177,38,0)</f>
        <v>0</v>
      </c>
      <c r="Z164" s="146">
        <f>VLOOKUP(A164,AuxOPEXSaneparOriginal!$B$4:$AN$177,39,0)</f>
        <v>0</v>
      </c>
      <c r="AA164" s="146">
        <f>VLOOKUP(A164,AuxOPEXSaneparOriginal!$B$4:$AO$177,40,0)</f>
        <v>0</v>
      </c>
      <c r="AB164" s="157">
        <f t="shared" si="507"/>
        <v>0</v>
      </c>
      <c r="AC164" s="156">
        <f>VLOOKUP(A164,AuxOPEXSaneparOriginal!$B$4:$AP$177,41,0)</f>
        <v>0</v>
      </c>
      <c r="AD164" s="156">
        <f>+VLOOKUP(A164,AuxOPEXSaneparOriginal!$B$4:$AQ$177,42,0)</f>
        <v>0</v>
      </c>
      <c r="AE164" s="156">
        <f>VLOOKUP(A164,AuxOPEXSaneparOriginal!$B$4:$AR$177,43,0)</f>
        <v>0</v>
      </c>
      <c r="AF164" s="156">
        <f>+VLOOKUP(A164,AuxOPEXSaneparOriginal!$B$4:$AS$177,44,0)</f>
        <v>0</v>
      </c>
      <c r="AG164" s="146">
        <f>VLOOKUP(A164,AuxOPEXSaneparOriginal!$B$4:$AT$177,45,0)</f>
        <v>0</v>
      </c>
      <c r="AH164" s="146">
        <f>VLOOKUP(A164,AuxOPEXSaneparOriginal!$B$4:$AU$177,46,0)</f>
        <v>0</v>
      </c>
      <c r="AI164" s="146">
        <f>VLOOKUP(A164,AuxOPEXSaneparOriginal!$B$4:$AV$177,47,0)</f>
        <v>0</v>
      </c>
      <c r="AJ164" s="157">
        <f t="shared" si="508"/>
        <v>0</v>
      </c>
      <c r="AK164" s="157">
        <f t="shared" si="490"/>
        <v>26917.4</v>
      </c>
      <c r="AL164" s="157">
        <f t="shared" si="491"/>
        <v>0</v>
      </c>
      <c r="AM164" s="144"/>
      <c r="AN164" s="167">
        <f t="shared" si="496"/>
        <v>0</v>
      </c>
      <c r="AO164" s="168">
        <f t="shared" si="497"/>
        <v>0</v>
      </c>
      <c r="AP164" s="57">
        <f t="shared" si="498"/>
        <v>0</v>
      </c>
      <c r="AQ164" s="57">
        <f t="shared" si="499"/>
        <v>0</v>
      </c>
      <c r="AR164" s="57">
        <f t="shared" si="500"/>
        <v>0</v>
      </c>
      <c r="AS164" s="57">
        <f t="shared" si="501"/>
        <v>0</v>
      </c>
      <c r="AT164" s="57">
        <f t="shared" si="502"/>
        <v>0</v>
      </c>
      <c r="AU164" s="157">
        <f t="shared" si="446"/>
        <v>0</v>
      </c>
      <c r="AV164" s="57">
        <f t="shared" si="447"/>
        <v>0</v>
      </c>
      <c r="AW164" s="57">
        <f t="shared" si="448"/>
        <v>0</v>
      </c>
      <c r="AX164" s="57">
        <f t="shared" si="449"/>
        <v>0</v>
      </c>
      <c r="AY164" s="57">
        <f t="shared" si="450"/>
        <v>0</v>
      </c>
      <c r="AZ164" s="57">
        <f t="shared" si="451"/>
        <v>0</v>
      </c>
      <c r="BA164" s="57">
        <f t="shared" si="452"/>
        <v>0</v>
      </c>
      <c r="BB164" s="57">
        <f t="shared" si="453"/>
        <v>0</v>
      </c>
      <c r="BC164" s="157">
        <f t="shared" si="454"/>
        <v>0</v>
      </c>
      <c r="BD164" s="57">
        <f t="shared" si="455"/>
        <v>0</v>
      </c>
      <c r="BE164" s="57">
        <f t="shared" si="456"/>
        <v>0</v>
      </c>
      <c r="BF164" s="57">
        <f t="shared" si="457"/>
        <v>0</v>
      </c>
      <c r="BG164" s="57">
        <f t="shared" si="458"/>
        <v>0</v>
      </c>
      <c r="BH164" s="57">
        <f t="shared" si="459"/>
        <v>0</v>
      </c>
      <c r="BI164" s="57">
        <f t="shared" si="460"/>
        <v>0</v>
      </c>
      <c r="BJ164" s="57">
        <f t="shared" si="461"/>
        <v>0</v>
      </c>
      <c r="BK164" s="157">
        <f t="shared" si="462"/>
        <v>0</v>
      </c>
      <c r="BL164" s="57">
        <f t="shared" si="463"/>
        <v>0</v>
      </c>
      <c r="BM164" s="57">
        <f t="shared" si="464"/>
        <v>0</v>
      </c>
      <c r="BN164" s="57">
        <f t="shared" si="465"/>
        <v>0</v>
      </c>
      <c r="BO164" s="57">
        <f t="shared" si="466"/>
        <v>0</v>
      </c>
      <c r="BP164" s="57">
        <f t="shared" si="467"/>
        <v>0</v>
      </c>
      <c r="BQ164" s="57">
        <f t="shared" si="468"/>
        <v>0</v>
      </c>
      <c r="BR164" s="57">
        <f t="shared" si="469"/>
        <v>0</v>
      </c>
      <c r="BS164" s="157">
        <f t="shared" si="470"/>
        <v>0</v>
      </c>
      <c r="BT164" s="157">
        <f t="shared" si="344"/>
        <v>0</v>
      </c>
      <c r="BU164" s="157">
        <f t="shared" si="345"/>
        <v>0</v>
      </c>
      <c r="BV164" s="144"/>
      <c r="BW164" s="158">
        <f t="shared" si="509"/>
        <v>0</v>
      </c>
      <c r="BX164" s="159">
        <f t="shared" si="510"/>
        <v>0</v>
      </c>
      <c r="BY164" s="159">
        <f t="shared" si="511"/>
        <v>0</v>
      </c>
      <c r="BZ164" s="159">
        <f t="shared" si="512"/>
        <v>0</v>
      </c>
      <c r="CA164" s="158">
        <f t="shared" si="475"/>
        <v>0</v>
      </c>
      <c r="CB164" s="157">
        <f t="shared" si="476"/>
        <v>0</v>
      </c>
      <c r="CC164" s="144"/>
      <c r="CD164" s="158">
        <f t="shared" si="513"/>
        <v>0</v>
      </c>
      <c r="CE164" s="159">
        <f t="shared" si="514"/>
        <v>0</v>
      </c>
      <c r="CF164" s="159">
        <f t="shared" si="515"/>
        <v>0</v>
      </c>
      <c r="CG164" s="159">
        <f t="shared" si="503"/>
        <v>0</v>
      </c>
      <c r="CH164" s="158">
        <f t="shared" si="504"/>
        <v>0</v>
      </c>
      <c r="CI164" s="157">
        <f t="shared" si="481"/>
        <v>0</v>
      </c>
      <c r="CK164" s="61">
        <f t="shared" si="482"/>
        <v>0</v>
      </c>
      <c r="CL164" s="62">
        <f t="shared" si="483"/>
        <v>0</v>
      </c>
      <c r="CM164" s="63">
        <f t="shared" si="484"/>
        <v>0</v>
      </c>
      <c r="CN164" s="61">
        <f t="shared" si="485"/>
        <v>0</v>
      </c>
      <c r="CO164" s="29"/>
      <c r="CP164" s="61">
        <f t="shared" si="516"/>
        <v>0</v>
      </c>
      <c r="CQ164" s="62">
        <f t="shared" si="517"/>
        <v>0</v>
      </c>
      <c r="CR164" s="63">
        <f t="shared" si="518"/>
        <v>0</v>
      </c>
      <c r="CS164" s="61">
        <f t="shared" si="519"/>
        <v>0</v>
      </c>
      <c r="CU164" s="60">
        <f t="shared" si="492"/>
        <v>0</v>
      </c>
      <c r="CV164" s="132">
        <f t="shared" si="493"/>
        <v>0</v>
      </c>
      <c r="CW164" s="132">
        <f t="shared" si="494"/>
        <v>0</v>
      </c>
      <c r="CX164" s="131">
        <f t="shared" si="495"/>
        <v>0</v>
      </c>
    </row>
    <row r="165" spans="1:102">
      <c r="A165" s="29" t="s">
        <v>197</v>
      </c>
      <c r="B165" s="29" t="s">
        <v>6</v>
      </c>
      <c r="C165" s="55" t="s">
        <v>198</v>
      </c>
      <c r="D165" s="56">
        <v>0</v>
      </c>
      <c r="E165" s="57">
        <f>VLOOKUP(A165,AuxOPEXSaneparOriginal!$B$4:$F$177,3,0)</f>
        <v>0</v>
      </c>
      <c r="F165" s="156">
        <f>VLOOKUP(A165,AuxOPEXSaneparOriginal!$B$4:$F$177,4,0)</f>
        <v>0</v>
      </c>
      <c r="G165" s="57">
        <f>VLOOKUP(A165,AuxOPEXSaneparOriginal!$B$4:$K$177,8,0)</f>
        <v>0</v>
      </c>
      <c r="H165" s="156">
        <f>VLOOKUP(A165,AuxOPEXSaneparOriginal!$B$4:$K$177,9,0)</f>
        <v>0</v>
      </c>
      <c r="I165" s="57">
        <f>VLOOKUP(A165,AuxOPEXSaneparOriginal!$B$4:$N$177,13,0)</f>
        <v>0</v>
      </c>
      <c r="J165" s="57">
        <f>VLOOKUP(A165,AuxOPEXSaneparOriginal!$B$4:$Q$177,16,0)</f>
        <v>-86163540.560000002</v>
      </c>
      <c r="K165" s="57">
        <f>VLOOKUP(A165,AuxOPEXSaneparOriginal!$B$4:$V$177,21,0)</f>
        <v>0</v>
      </c>
      <c r="L165" s="77">
        <f t="shared" si="505"/>
        <v>-86163540.560000002</v>
      </c>
      <c r="M165" s="19">
        <f>VLOOKUP(A165,AuxOPEXSaneparOriginal!$B$4:$AB$177,27,0)</f>
        <v>0</v>
      </c>
      <c r="N165" s="156">
        <f>VLOOKUP(A165,AuxOPEXSaneparOriginal!$B$4:$AC$177,28,0)</f>
        <v>0</v>
      </c>
      <c r="O165" s="156">
        <f>VLOOKUP(A165,AuxOPEXSaneparOriginal!$B$4:$AD$177,29,0)</f>
        <v>0</v>
      </c>
      <c r="P165" s="156">
        <f>VLOOKUP(A165,AuxOPEXSaneparOriginal!$B$4:$AE$177,30,0)</f>
        <v>0</v>
      </c>
      <c r="Q165" s="19">
        <f>VLOOKUP(A165,AuxOPEXSaneparOriginal!$B$4:$AF$177,31,0)</f>
        <v>0</v>
      </c>
      <c r="R165" s="19">
        <f>VLOOKUP(A165,AuxOPEXSaneparOriginal!$B$4:$AG$177,32,0)</f>
        <v>-94431668.849999994</v>
      </c>
      <c r="S165" s="19">
        <f>VLOOKUP(A165,AuxOPEXSaneparOriginal!$B$4:$AH$177,33,0)</f>
        <v>0</v>
      </c>
      <c r="T165" s="77">
        <f t="shared" si="506"/>
        <v>-94431668.849999994</v>
      </c>
      <c r="U165" s="156">
        <f>VLOOKUP(A165,AuxOPEXSaneparOriginal!$B$4:$AI$177,34,0)</f>
        <v>0</v>
      </c>
      <c r="V165" s="156">
        <f>VLOOKUP(A165,AuxOPEXSaneparOriginal!$B$4:$AJ$177,35,0)</f>
        <v>0</v>
      </c>
      <c r="W165" s="156">
        <f>VLOOKUP(A165,AuxOPEXSaneparOriginal!$B$4:$AK$177,36,0)</f>
        <v>0</v>
      </c>
      <c r="X165" s="19">
        <f>+VLOOKUP(A165,AuxOPEXSaneparOriginal!$B$4:$AL$177,37,0)</f>
        <v>0</v>
      </c>
      <c r="Y165" s="19">
        <f>VLOOKUP(A165,AuxOPEXSaneparOriginal!$B$4:$AM$177,38,0)</f>
        <v>0</v>
      </c>
      <c r="Z165" s="19">
        <f>VLOOKUP(A165,AuxOPEXSaneparOriginal!$B$4:$AN$177,39,0)</f>
        <v>-103418629.23999999</v>
      </c>
      <c r="AA165" s="19">
        <f>VLOOKUP(A165,AuxOPEXSaneparOriginal!$B$4:$AO$177,40,0)</f>
        <v>0</v>
      </c>
      <c r="AB165" s="77">
        <f t="shared" si="507"/>
        <v>-103418629.23999999</v>
      </c>
      <c r="AC165" s="156">
        <f>VLOOKUP(A165,AuxOPEXSaneparOriginal!$B$4:$AP$177,41,0)</f>
        <v>0</v>
      </c>
      <c r="AD165" s="156">
        <f>+VLOOKUP(A165,AuxOPEXSaneparOriginal!$B$4:$AQ$177,42,0)</f>
        <v>0</v>
      </c>
      <c r="AE165" s="156">
        <f>VLOOKUP(A165,AuxOPEXSaneparOriginal!$B$4:$AR$177,43,0)</f>
        <v>0</v>
      </c>
      <c r="AF165" s="156">
        <f>+VLOOKUP(A165,AuxOPEXSaneparOriginal!$B$4:$AS$177,44,0)</f>
        <v>0</v>
      </c>
      <c r="AG165" s="19">
        <f>VLOOKUP(A165,AuxOPEXSaneparOriginal!$B$4:$AT$177,45,0)</f>
        <v>0</v>
      </c>
      <c r="AH165" s="19">
        <f>VLOOKUP(A165,AuxOPEXSaneparOriginal!$B$4:$AU$177,46,0)</f>
        <v>-82896156.550000012</v>
      </c>
      <c r="AI165" s="19">
        <f>VLOOKUP(A165,AuxOPEXSaneparOriginal!$B$4:$AV$177,47,0)</f>
        <v>0</v>
      </c>
      <c r="AJ165" s="77">
        <f t="shared" si="508"/>
        <v>-82896156.550000012</v>
      </c>
      <c r="AK165" s="58">
        <f t="shared" ref="AK165:AK175" si="520">AVERAGE(AJ165,AB165,T165,L165)</f>
        <v>-91727498.799999997</v>
      </c>
      <c r="AL165" s="58">
        <f t="shared" ref="AL165:AL175" si="521">AVERAGE(AJ165,AB165)</f>
        <v>-93157392.895000011</v>
      </c>
      <c r="AN165" s="167">
        <f t="shared" si="496"/>
        <v>0</v>
      </c>
      <c r="AO165" s="168">
        <f t="shared" si="497"/>
        <v>0</v>
      </c>
      <c r="AP165" s="57">
        <f t="shared" si="498"/>
        <v>0</v>
      </c>
      <c r="AQ165" s="57">
        <f t="shared" si="499"/>
        <v>0</v>
      </c>
      <c r="AR165" s="57">
        <f t="shared" si="500"/>
        <v>0</v>
      </c>
      <c r="AS165" s="57">
        <f t="shared" si="501"/>
        <v>-86163540.560000002</v>
      </c>
      <c r="AT165" s="57">
        <f t="shared" si="502"/>
        <v>0</v>
      </c>
      <c r="AU165" s="77">
        <f t="shared" si="446"/>
        <v>-86163540.560000002</v>
      </c>
      <c r="AV165" s="57">
        <f t="shared" si="447"/>
        <v>0</v>
      </c>
      <c r="AW165" s="57">
        <f t="shared" si="448"/>
        <v>0</v>
      </c>
      <c r="AX165" s="57">
        <f t="shared" si="449"/>
        <v>0</v>
      </c>
      <c r="AY165" s="57">
        <f t="shared" si="450"/>
        <v>0</v>
      </c>
      <c r="AZ165" s="57">
        <f t="shared" si="451"/>
        <v>0</v>
      </c>
      <c r="BA165" s="57">
        <f t="shared" si="452"/>
        <v>-94431668.849999994</v>
      </c>
      <c r="BB165" s="57">
        <f t="shared" si="453"/>
        <v>0</v>
      </c>
      <c r="BC165" s="77">
        <f t="shared" si="454"/>
        <v>-94431668.849999994</v>
      </c>
      <c r="BD165" s="57">
        <f t="shared" si="455"/>
        <v>0</v>
      </c>
      <c r="BE165" s="57">
        <f t="shared" si="456"/>
        <v>0</v>
      </c>
      <c r="BF165" s="57">
        <f t="shared" si="457"/>
        <v>0</v>
      </c>
      <c r="BG165" s="57">
        <f t="shared" si="458"/>
        <v>0</v>
      </c>
      <c r="BH165" s="57">
        <f t="shared" si="459"/>
        <v>0</v>
      </c>
      <c r="BI165" s="57">
        <f t="shared" si="460"/>
        <v>-103418629.23999999</v>
      </c>
      <c r="BJ165" s="57">
        <f t="shared" si="461"/>
        <v>0</v>
      </c>
      <c r="BK165" s="77">
        <f t="shared" si="462"/>
        <v>-103418629.23999999</v>
      </c>
      <c r="BL165" s="57">
        <f t="shared" si="463"/>
        <v>0</v>
      </c>
      <c r="BM165" s="57">
        <f t="shared" si="464"/>
        <v>0</v>
      </c>
      <c r="BN165" s="57">
        <f t="shared" si="465"/>
        <v>0</v>
      </c>
      <c r="BO165" s="57">
        <f t="shared" si="466"/>
        <v>0</v>
      </c>
      <c r="BP165" s="57">
        <f t="shared" si="467"/>
        <v>0</v>
      </c>
      <c r="BQ165" s="57">
        <f t="shared" si="468"/>
        <v>-82896156.550000012</v>
      </c>
      <c r="BR165" s="57">
        <f t="shared" si="469"/>
        <v>0</v>
      </c>
      <c r="BS165" s="77">
        <f t="shared" si="470"/>
        <v>-82896156.550000012</v>
      </c>
      <c r="BT165" s="58">
        <f t="shared" ref="BT165:BT175" si="522">AVERAGE(BS165,BK165,BC165,AU165)</f>
        <v>-91727498.799999997</v>
      </c>
      <c r="BU165" s="58">
        <f t="shared" ref="BU165:BU175" si="523">AVERAGE(BS165,BK165)</f>
        <v>-93157392.895000011</v>
      </c>
      <c r="BW165" s="60">
        <f t="shared" si="509"/>
        <v>-86163540.560000002</v>
      </c>
      <c r="BX165" s="132">
        <f t="shared" si="510"/>
        <v>-94431668.849999994</v>
      </c>
      <c r="BY165" s="132">
        <f t="shared" si="511"/>
        <v>-103418629.23999999</v>
      </c>
      <c r="BZ165" s="132">
        <f t="shared" si="512"/>
        <v>-82896156.550000012</v>
      </c>
      <c r="CA165" s="60">
        <f t="shared" si="475"/>
        <v>-91727498.799999997</v>
      </c>
      <c r="CB165" s="58">
        <f t="shared" si="476"/>
        <v>-90297604.704999998</v>
      </c>
      <c r="CD165" s="60">
        <f t="shared" si="513"/>
        <v>-97880739.497319221</v>
      </c>
      <c r="CE165" s="132">
        <f t="shared" si="514"/>
        <v>-103101846.42329454</v>
      </c>
      <c r="CF165" s="132">
        <f t="shared" si="515"/>
        <v>-109333440.56026039</v>
      </c>
      <c r="CG165" s="132">
        <f t="shared" si="503"/>
        <v>-82896156.550000012</v>
      </c>
      <c r="CH165" s="60">
        <f t="shared" si="504"/>
        <v>-98303045.757718548</v>
      </c>
      <c r="CI165" s="58">
        <f t="shared" si="481"/>
        <v>-100491292.96030688</v>
      </c>
      <c r="CK165" s="61">
        <f>IFERROR(+CE165/CD165-1,0)</f>
        <v>5.3341514916918964E-2</v>
      </c>
      <c r="CL165" s="62">
        <f t="shared" si="483"/>
        <v>6.0441149728603705E-2</v>
      </c>
      <c r="CM165" s="63">
        <f t="shared" si="484"/>
        <v>-0.2418041897775014</v>
      </c>
      <c r="CN165" s="61">
        <f t="shared" si="485"/>
        <v>-0.15309020982345167</v>
      </c>
      <c r="CO165" s="29"/>
      <c r="CP165" s="61">
        <f t="shared" si="516"/>
        <v>-4.1233711262577355E-2</v>
      </c>
      <c r="CQ165" s="62">
        <f t="shared" si="517"/>
        <v>-4.4394132258371702E-2</v>
      </c>
      <c r="CR165" s="63">
        <f t="shared" si="518"/>
        <v>-4.540325407770273E-2</v>
      </c>
      <c r="CS165" s="61">
        <f t="shared" si="519"/>
        <v>-3.4251306259380283E-2</v>
      </c>
      <c r="CU165" s="60">
        <f t="shared" ref="CU165:CU175" si="524">IFERROR(+CD165/$CD165*100,0)</f>
        <v>100</v>
      </c>
      <c r="CV165" s="132">
        <f t="shared" ref="CV165:CV175" si="525">IFERROR(+CE165/$CD165*100,0)</f>
        <v>105.3341514916919</v>
      </c>
      <c r="CW165" s="132">
        <f t="shared" ref="CW165:CW175" si="526">IFERROR(+CF165/$CD165*100,0)</f>
        <v>111.70066871353667</v>
      </c>
      <c r="CX165" s="131">
        <f t="shared" ref="CX165:CX175" si="527">IFERROR(+CG165/$CD165*100,0)</f>
        <v>84.690979017654826</v>
      </c>
    </row>
    <row r="166" spans="1:102">
      <c r="B166" s="67" t="s">
        <v>199</v>
      </c>
      <c r="C166" s="75"/>
      <c r="D166" s="69"/>
      <c r="E166" s="70">
        <f>SUM(E109:E165)</f>
        <v>71617326.189999923</v>
      </c>
      <c r="F166" s="70">
        <f t="shared" ref="F166:AJ166" si="528">SUM(F109:F165)</f>
        <v>24636315.640000015</v>
      </c>
      <c r="G166" s="70">
        <f t="shared" si="528"/>
        <v>2604835.2699999996</v>
      </c>
      <c r="H166" s="70">
        <f t="shared" si="528"/>
        <v>28889910.319999997</v>
      </c>
      <c r="I166" s="70">
        <f t="shared" si="528"/>
        <v>402830039.0200001</v>
      </c>
      <c r="J166" s="70">
        <f t="shared" si="528"/>
        <v>-139270912.79999995</v>
      </c>
      <c r="K166" s="70">
        <f t="shared" si="528"/>
        <v>386458565.08000004</v>
      </c>
      <c r="L166" s="70">
        <f t="shared" si="528"/>
        <v>777766078.72000003</v>
      </c>
      <c r="M166" s="70">
        <f t="shared" si="528"/>
        <v>77241841.640000001</v>
      </c>
      <c r="N166" s="70">
        <f t="shared" si="528"/>
        <v>42916119.74000001</v>
      </c>
      <c r="O166" s="70">
        <f t="shared" si="528"/>
        <v>14952277.890000004</v>
      </c>
      <c r="P166" s="70">
        <f t="shared" si="528"/>
        <v>32364999.650000025</v>
      </c>
      <c r="Q166" s="70">
        <f t="shared" si="528"/>
        <v>399772692.14000022</v>
      </c>
      <c r="R166" s="70">
        <f t="shared" si="528"/>
        <v>-147691676.22000009</v>
      </c>
      <c r="S166" s="70">
        <f t="shared" si="528"/>
        <v>342696501.00000006</v>
      </c>
      <c r="T166" s="70">
        <f t="shared" si="528"/>
        <v>762252755.84000003</v>
      </c>
      <c r="U166" s="70">
        <f t="shared" si="528"/>
        <v>78235835.160000026</v>
      </c>
      <c r="V166" s="70">
        <f t="shared" si="528"/>
        <v>37819801.960000008</v>
      </c>
      <c r="W166" s="70">
        <f t="shared" si="528"/>
        <v>3392887.1100000003</v>
      </c>
      <c r="X166" s="70">
        <f t="shared" si="528"/>
        <v>44342612.439999983</v>
      </c>
      <c r="Y166" s="70">
        <f t="shared" si="528"/>
        <v>461934532.01999986</v>
      </c>
      <c r="Z166" s="70">
        <f t="shared" si="528"/>
        <v>-193276331.22000009</v>
      </c>
      <c r="AA166" s="70">
        <f t="shared" si="528"/>
        <v>584023956.69000006</v>
      </c>
      <c r="AB166" s="70">
        <f t="shared" si="528"/>
        <v>1016473294.1600001</v>
      </c>
      <c r="AC166" s="70">
        <f t="shared" si="528"/>
        <v>72408752.270000026</v>
      </c>
      <c r="AD166" s="70">
        <f t="shared" si="528"/>
        <v>27851221.210000012</v>
      </c>
      <c r="AE166" s="70">
        <f t="shared" si="528"/>
        <v>4713335.32</v>
      </c>
      <c r="AF166" s="70">
        <f t="shared" si="528"/>
        <v>41297831.620000005</v>
      </c>
      <c r="AG166" s="70">
        <f t="shared" si="528"/>
        <v>521478423.3599996</v>
      </c>
      <c r="AH166" s="70">
        <f t="shared" si="528"/>
        <v>-142758500.44000006</v>
      </c>
      <c r="AI166" s="70">
        <f t="shared" si="528"/>
        <v>488029195.07999992</v>
      </c>
      <c r="AJ166" s="70">
        <f t="shared" si="528"/>
        <v>1013020258.4199998</v>
      </c>
      <c r="AK166" s="161">
        <f t="shared" si="520"/>
        <v>892378096.78500009</v>
      </c>
      <c r="AL166" s="161">
        <f t="shared" si="521"/>
        <v>1014746776.29</v>
      </c>
      <c r="AN166" s="133">
        <f>SUM(AN109:AN165)</f>
        <v>66183827.339999937</v>
      </c>
      <c r="AO166" s="133">
        <f t="shared" ref="AO166:BS166" si="529">SUM(AO109:AO165)</f>
        <v>20817065.290000014</v>
      </c>
      <c r="AP166" s="133">
        <f t="shared" si="529"/>
        <v>887820.49999999965</v>
      </c>
      <c r="AQ166" s="133">
        <f t="shared" si="529"/>
        <v>25515451.479999997</v>
      </c>
      <c r="AR166" s="133">
        <f t="shared" si="529"/>
        <v>39212796.030000001</v>
      </c>
      <c r="AS166" s="133">
        <f t="shared" si="529"/>
        <v>-171630091.73999995</v>
      </c>
      <c r="AT166" s="133">
        <f t="shared" si="529"/>
        <v>0</v>
      </c>
      <c r="AU166" s="133">
        <f t="shared" si="529"/>
        <v>-19013131.100000024</v>
      </c>
      <c r="AV166" s="133">
        <f t="shared" si="529"/>
        <v>70804873.849999994</v>
      </c>
      <c r="AW166" s="133">
        <f t="shared" si="529"/>
        <v>26399509.690000016</v>
      </c>
      <c r="AX166" s="133">
        <f t="shared" si="529"/>
        <v>841323.14999999979</v>
      </c>
      <c r="AY166" s="133">
        <f t="shared" si="529"/>
        <v>31336797.670000024</v>
      </c>
      <c r="AZ166" s="133">
        <f t="shared" si="529"/>
        <v>28117932.330000006</v>
      </c>
      <c r="BA166" s="133">
        <f t="shared" si="529"/>
        <v>-191156428.17000008</v>
      </c>
      <c r="BB166" s="133">
        <f t="shared" si="529"/>
        <v>0</v>
      </c>
      <c r="BC166" s="133">
        <f t="shared" si="529"/>
        <v>-33655991.480000019</v>
      </c>
      <c r="BD166" s="133">
        <f t="shared" si="529"/>
        <v>74206548.25000003</v>
      </c>
      <c r="BE166" s="133">
        <f t="shared" si="529"/>
        <v>33499384.65000001</v>
      </c>
      <c r="BF166" s="133">
        <f t="shared" si="529"/>
        <v>874528.94000000029</v>
      </c>
      <c r="BG166" s="133">
        <f t="shared" si="529"/>
        <v>41093720.759999983</v>
      </c>
      <c r="BH166" s="133">
        <f t="shared" si="529"/>
        <v>21966863.200000003</v>
      </c>
      <c r="BI166" s="133">
        <f t="shared" si="529"/>
        <v>-231969712.01000005</v>
      </c>
      <c r="BJ166" s="133">
        <f t="shared" si="529"/>
        <v>0</v>
      </c>
      <c r="BK166" s="133">
        <f t="shared" si="529"/>
        <v>-60328666.209999934</v>
      </c>
      <c r="BL166" s="133">
        <f t="shared" si="529"/>
        <v>64520351.990000017</v>
      </c>
      <c r="BM166" s="133">
        <f t="shared" si="529"/>
        <v>23727324.240000017</v>
      </c>
      <c r="BN166" s="133">
        <f t="shared" si="529"/>
        <v>497208.03</v>
      </c>
      <c r="BO166" s="133">
        <f t="shared" si="529"/>
        <v>40317876.050000012</v>
      </c>
      <c r="BP166" s="133">
        <f t="shared" si="529"/>
        <v>5095194.2500000037</v>
      </c>
      <c r="BQ166" s="133">
        <f t="shared" si="529"/>
        <v>-182549836.32000005</v>
      </c>
      <c r="BR166" s="133">
        <f t="shared" si="529"/>
        <v>0</v>
      </c>
      <c r="BS166" s="133">
        <f t="shared" si="529"/>
        <v>-48391881.76000005</v>
      </c>
      <c r="BT166" s="71">
        <f t="shared" si="522"/>
        <v>-40347417.637500003</v>
      </c>
      <c r="BU166" s="71">
        <f t="shared" si="523"/>
        <v>-54360273.984999992</v>
      </c>
      <c r="BW166" s="133">
        <f>SUM(BW109:BW165)</f>
        <v>-19013131.100000024</v>
      </c>
      <c r="BX166" s="133">
        <f t="shared" ref="BX166:CB166" si="530">SUM(BX109:BX165)</f>
        <v>-33655991.480000019</v>
      </c>
      <c r="BY166" s="133">
        <f t="shared" si="530"/>
        <v>-60328666.209999934</v>
      </c>
      <c r="BZ166" s="133">
        <f t="shared" si="530"/>
        <v>-48391881.76000005</v>
      </c>
      <c r="CA166" s="133">
        <f t="shared" si="530"/>
        <v>-40347417.637500033</v>
      </c>
      <c r="CB166" s="133">
        <f t="shared" si="530"/>
        <v>-37602747.98499997</v>
      </c>
      <c r="CD166" s="133">
        <f>SUM(CD109:CD165)</f>
        <v>-21598686.870713741</v>
      </c>
      <c r="CE166" s="133">
        <f t="shared" ref="CE166:CI166" si="531">SUM(CE109:CE165)</f>
        <v>-36746092.778542161</v>
      </c>
      <c r="CF166" s="133">
        <f t="shared" si="531"/>
        <v>-63779037.583682001</v>
      </c>
      <c r="CG166" s="133">
        <f t="shared" si="531"/>
        <v>-48391881.76000005</v>
      </c>
      <c r="CH166" s="133">
        <f t="shared" si="531"/>
        <v>-42628924.748234496</v>
      </c>
      <c r="CI166" s="133">
        <f t="shared" si="531"/>
        <v>-50659505.877155662</v>
      </c>
      <c r="CK166" s="73">
        <f>IFERROR(+CE166/CD166-1,0)</f>
        <v>0.70131142687045522</v>
      </c>
      <c r="CL166" s="74">
        <f>IFERROR(+CF166/CE166-1,0)</f>
        <v>0.73566855034246514</v>
      </c>
      <c r="CM166" s="74">
        <f>IFERROR(+CG166/CF166-1,0)</f>
        <v>-0.2412572595422604</v>
      </c>
      <c r="CN166" s="74">
        <f>IFERROR(+CG166/CD166-1,0)</f>
        <v>1.2405011031302995</v>
      </c>
      <c r="CO166" s="29"/>
      <c r="CP166" s="73">
        <f>SUM(CP109:CP165)</f>
        <v>-9.0987667507581443E-3</v>
      </c>
      <c r="CQ166" s="73">
        <f>SUM(CQ109:CQ165)</f>
        <v>-1.5822324811638158E-2</v>
      </c>
      <c r="CR166" s="73">
        <f>SUM(CR109:CR165)</f>
        <v>-2.6485728734085022E-2</v>
      </c>
      <c r="CS166" s="73">
        <f>SUM(CS109:CS165)</f>
        <v>-1.9994716662523955E-2</v>
      </c>
      <c r="CU166" s="133">
        <f t="shared" si="524"/>
        <v>100</v>
      </c>
      <c r="CV166" s="134">
        <f t="shared" si="525"/>
        <v>170.13114268704553</v>
      </c>
      <c r="CW166" s="134">
        <f t="shared" si="526"/>
        <v>295.2912737957314</v>
      </c>
      <c r="CX166" s="136">
        <f t="shared" si="527"/>
        <v>224.05011031302996</v>
      </c>
    </row>
    <row r="167" spans="1:102">
      <c r="A167" s="214">
        <v>501</v>
      </c>
      <c r="B167" s="214" t="s">
        <v>48</v>
      </c>
      <c r="C167" s="217" t="s">
        <v>200</v>
      </c>
      <c r="D167" s="216">
        <v>1</v>
      </c>
      <c r="E167" s="57">
        <f>VLOOKUP(A167,AuxOPEXSaneparOriginal!$B$4:$F$177,3,0)</f>
        <v>0</v>
      </c>
      <c r="F167" s="156">
        <f>VLOOKUP(A167,AuxOPEXSaneparOriginal!$B$4:$F$177,4,0)</f>
        <v>0</v>
      </c>
      <c r="G167" s="57">
        <f>VLOOKUP(A167,AuxOPEXSaneparOriginal!$B$4:$K$177,8,0)</f>
        <v>0</v>
      </c>
      <c r="H167" s="156">
        <f>VLOOKUP(A167,AuxOPEXSaneparOriginal!$B$4:$K$177,9,0)</f>
        <v>0</v>
      </c>
      <c r="I167" s="57">
        <f>VLOOKUP(A167,AuxOPEXSaneparOriginal!$B$4:$N$177,13,0)</f>
        <v>2101309.2699999991</v>
      </c>
      <c r="J167" s="57">
        <f>VLOOKUP(A167,AuxOPEXSaneparOriginal!$B$4:$Q$177,16,0)</f>
        <v>12757737.899999999</v>
      </c>
      <c r="K167" s="57">
        <f>VLOOKUP(A167,AuxOPEXSaneparOriginal!$B$4:$V$177,21,0)</f>
        <v>0</v>
      </c>
      <c r="L167" s="58">
        <f t="shared" ref="L167:L174" si="532">SUM(E167:K167)</f>
        <v>14859047.169999998</v>
      </c>
      <c r="M167" s="19">
        <f>VLOOKUP(A167,AuxOPEXSaneparOriginal!$B$4:$AB$177,27,0)</f>
        <v>0</v>
      </c>
      <c r="N167" s="156">
        <f>VLOOKUP(A167,AuxOPEXSaneparOriginal!$B$4:$AC$177,28,0)</f>
        <v>0</v>
      </c>
      <c r="O167" s="156">
        <f>VLOOKUP(A167,AuxOPEXSaneparOriginal!$B$4:$AD$177,29,0)</f>
        <v>0</v>
      </c>
      <c r="P167" s="156">
        <f>VLOOKUP(A167,AuxOPEXSaneparOriginal!$B$4:$AE$177,30,0)</f>
        <v>0</v>
      </c>
      <c r="Q167" s="19">
        <f>VLOOKUP(A167,AuxOPEXSaneparOriginal!$B$4:$AF$177,31,0)</f>
        <v>2089436.54</v>
      </c>
      <c r="R167" s="19">
        <f>VLOOKUP(A167,AuxOPEXSaneparOriginal!$B$4:$AG$177,32,0)</f>
        <v>13118322.870000001</v>
      </c>
      <c r="S167" s="19">
        <f>VLOOKUP(A167,AuxOPEXSaneparOriginal!$B$4:$AH$177,33,0)</f>
        <v>0</v>
      </c>
      <c r="T167" s="58">
        <f t="shared" ref="T167:T174" si="533">SUM(M167:S167)</f>
        <v>15207759.41</v>
      </c>
      <c r="U167" s="156">
        <f>VLOOKUP(A167,AuxOPEXSaneparOriginal!$B$4:$AI$177,34,0)</f>
        <v>0</v>
      </c>
      <c r="V167" s="156">
        <f>VLOOKUP(A167,AuxOPEXSaneparOriginal!$B$4:$AJ$177,35,0)</f>
        <v>0</v>
      </c>
      <c r="W167" s="156">
        <f>VLOOKUP(A167,AuxOPEXSaneparOriginal!$B$4:$AK$177,36,0)</f>
        <v>0</v>
      </c>
      <c r="X167" s="19">
        <f>+VLOOKUP(A167,AuxOPEXSaneparOriginal!$B$4:$AL$177,37,0)</f>
        <v>0</v>
      </c>
      <c r="Y167" s="19">
        <f>VLOOKUP(A167,AuxOPEXSaneparOriginal!$B$4:$AM$177,38,0)</f>
        <v>2070104.0099999986</v>
      </c>
      <c r="Z167" s="19">
        <f>VLOOKUP(A167,AuxOPEXSaneparOriginal!$B$4:$AN$177,39,0)</f>
        <v>15247028.5</v>
      </c>
      <c r="AA167" s="19">
        <f>VLOOKUP(A167,AuxOPEXSaneparOriginal!$B$4:$AO$177,40,0)</f>
        <v>0</v>
      </c>
      <c r="AB167" s="58">
        <f t="shared" ref="AB167:AB174" si="534">SUM(U167:AA167)</f>
        <v>17317132.509999998</v>
      </c>
      <c r="AC167" s="156">
        <f>VLOOKUP(A167,AuxOPEXSaneparOriginal!$B$4:$AP$177,41,0)</f>
        <v>0</v>
      </c>
      <c r="AD167" s="156">
        <f>+VLOOKUP(A167,AuxOPEXSaneparOriginal!$B$4:$AQ$177,42,0)</f>
        <v>0</v>
      </c>
      <c r="AE167" s="156">
        <f>VLOOKUP(A167,AuxOPEXSaneparOriginal!$B$4:$AR$177,43,0)</f>
        <v>0</v>
      </c>
      <c r="AF167" s="156">
        <f>+VLOOKUP(A167,AuxOPEXSaneparOriginal!$B$4:$AS$177,44,0)</f>
        <v>0</v>
      </c>
      <c r="AG167" s="19">
        <f>VLOOKUP(A167,AuxOPEXSaneparOriginal!$B$4:$AT$177,45,0)</f>
        <v>1884431.0700000008</v>
      </c>
      <c r="AH167" s="19">
        <f>VLOOKUP(A167,AuxOPEXSaneparOriginal!$B$4:$AU$177,46,0)</f>
        <v>16840475.830000006</v>
      </c>
      <c r="AI167" s="19">
        <f>VLOOKUP(A167,AuxOPEXSaneparOriginal!$B$4:$AV$177,47,0)</f>
        <v>0</v>
      </c>
      <c r="AJ167" s="58">
        <f t="shared" ref="AJ167:AJ174" si="535">SUM(AC167:AI167)</f>
        <v>18724906.900000006</v>
      </c>
      <c r="AK167" s="58">
        <f t="shared" si="520"/>
        <v>16527211.497500002</v>
      </c>
      <c r="AL167" s="58">
        <f t="shared" si="521"/>
        <v>18021019.705000002</v>
      </c>
      <c r="AN167" s="167">
        <f t="shared" ref="AN167:AN174" si="536">E167*(1-$D167)</f>
        <v>0</v>
      </c>
      <c r="AO167" s="168">
        <f t="shared" ref="AO167:AO174" si="537">F167*(1-$D167)</f>
        <v>0</v>
      </c>
      <c r="AP167" s="57">
        <f t="shared" ref="AP167:AP174" si="538">G167*(1-$D167)</f>
        <v>0</v>
      </c>
      <c r="AQ167" s="57">
        <f t="shared" ref="AQ167:AQ174" si="539">H167*(1-$D167)</f>
        <v>0</v>
      </c>
      <c r="AR167" s="57">
        <f t="shared" ref="AR167:AR174" si="540">I167*(1-$D167)</f>
        <v>0</v>
      </c>
      <c r="AS167" s="57">
        <f t="shared" ref="AS167:AS174" si="541">J167*(1-$D167)</f>
        <v>0</v>
      </c>
      <c r="AT167" s="57">
        <f t="shared" ref="AT167:AT174" si="542">K167*(1-$D167)</f>
        <v>0</v>
      </c>
      <c r="AU167" s="58">
        <f t="shared" ref="AU167:AU174" si="543">SUM(AN167:AT167)</f>
        <v>0</v>
      </c>
      <c r="AV167" s="57">
        <f t="shared" ref="AV167:AV174" si="544">M167*(1-$D167)</f>
        <v>0</v>
      </c>
      <c r="AW167" s="57">
        <f t="shared" ref="AW167:AW174" si="545">N167*(1-$D167)</f>
        <v>0</v>
      </c>
      <c r="AX167" s="57">
        <f t="shared" ref="AX167:AX174" si="546">O167*(1-$D167)</f>
        <v>0</v>
      </c>
      <c r="AY167" s="57">
        <f t="shared" ref="AY167:AY174" si="547">P167*(1-$D167)</f>
        <v>0</v>
      </c>
      <c r="AZ167" s="57">
        <f t="shared" ref="AZ167:AZ174" si="548">Q167*(1-$D167)</f>
        <v>0</v>
      </c>
      <c r="BA167" s="57">
        <f t="shared" ref="BA167:BA174" si="549">R167*(1-$D167)</f>
        <v>0</v>
      </c>
      <c r="BB167" s="57">
        <f t="shared" ref="BB167:BB174" si="550">S167*(1-$D167)</f>
        <v>0</v>
      </c>
      <c r="BC167" s="58">
        <f t="shared" ref="BC167:BC174" si="551">SUM(AV167:BB167)</f>
        <v>0</v>
      </c>
      <c r="BD167" s="57">
        <f t="shared" ref="BD167:BD174" si="552">U167*(1-$D167)</f>
        <v>0</v>
      </c>
      <c r="BE167" s="57">
        <f t="shared" ref="BE167:BE174" si="553">V167*(1-$D167)</f>
        <v>0</v>
      </c>
      <c r="BF167" s="57">
        <f t="shared" ref="BF167:BF174" si="554">W167*(1-$D167)</f>
        <v>0</v>
      </c>
      <c r="BG167" s="57">
        <f t="shared" ref="BG167:BG174" si="555">X167*(1-$D167)</f>
        <v>0</v>
      </c>
      <c r="BH167" s="57">
        <f t="shared" ref="BH167:BH174" si="556">Y167*(1-$D167)</f>
        <v>0</v>
      </c>
      <c r="BI167" s="57">
        <f t="shared" ref="BI167:BI174" si="557">Z167*(1-$D167)</f>
        <v>0</v>
      </c>
      <c r="BJ167" s="57">
        <f t="shared" ref="BJ167:BJ174" si="558">AA167*(1-$D167)</f>
        <v>0</v>
      </c>
      <c r="BK167" s="58">
        <f t="shared" ref="BK167:BK174" si="559">SUM(BD167:BJ167)</f>
        <v>0</v>
      </c>
      <c r="BL167" s="57">
        <f t="shared" ref="BL167:BL174" si="560">AC167*(1-$D167)</f>
        <v>0</v>
      </c>
      <c r="BM167" s="57">
        <f t="shared" ref="BM167:BM174" si="561">AD167*(1-$D167)</f>
        <v>0</v>
      </c>
      <c r="BN167" s="57">
        <f t="shared" ref="BN167:BN174" si="562">AE167*(1-$D167)</f>
        <v>0</v>
      </c>
      <c r="BO167" s="57">
        <f t="shared" ref="BO167:BO174" si="563">AF167*(1-$D167)</f>
        <v>0</v>
      </c>
      <c r="BP167" s="57">
        <f t="shared" ref="BP167:BP174" si="564">AG167*(1-$D167)</f>
        <v>0</v>
      </c>
      <c r="BQ167" s="57">
        <f t="shared" ref="BQ167:BQ174" si="565">AH167*(1-$D167)</f>
        <v>0</v>
      </c>
      <c r="BR167" s="57">
        <f t="shared" ref="BR167:BR174" si="566">AI167*(1-$D167)</f>
        <v>0</v>
      </c>
      <c r="BS167" s="58">
        <f t="shared" ref="BS167:BS174" si="567">SUM(BL167:BR167)</f>
        <v>0</v>
      </c>
      <c r="BT167" s="58">
        <f t="shared" si="522"/>
        <v>0</v>
      </c>
      <c r="BU167" s="58">
        <f t="shared" si="523"/>
        <v>0</v>
      </c>
      <c r="BW167" s="60">
        <f t="shared" ref="BW167:BW174" si="568">L167*(1-$D167)</f>
        <v>0</v>
      </c>
      <c r="BX167" s="132">
        <f t="shared" ref="BX167:BX174" si="569">T167*(1-$D167)</f>
        <v>0</v>
      </c>
      <c r="BY167" s="132">
        <f t="shared" ref="BY167:BY174" si="570">AB167*(1-$D167)</f>
        <v>0</v>
      </c>
      <c r="BZ167" s="132">
        <f t="shared" ref="BZ167:BZ174" si="571">AJ167*(1-$D167)</f>
        <v>0</v>
      </c>
      <c r="CA167" s="60">
        <f t="shared" ref="CA167:CA174" si="572">AVERAGE(BW167:BZ167)</f>
        <v>0</v>
      </c>
      <c r="CB167" s="58">
        <f t="shared" ref="CB167:CB174" si="573">MEDIAN(BW167:BZ167)</f>
        <v>0</v>
      </c>
      <c r="CD167" s="60">
        <f t="shared" ref="CD167:CF174" si="574">+BW167*F$16</f>
        <v>0</v>
      </c>
      <c r="CE167" s="132">
        <f t="shared" si="574"/>
        <v>0</v>
      </c>
      <c r="CF167" s="132">
        <f t="shared" si="574"/>
        <v>0</v>
      </c>
      <c r="CG167" s="132">
        <f t="shared" ref="CG167:CG174" si="575">BZ167</f>
        <v>0</v>
      </c>
      <c r="CH167" s="60">
        <f t="shared" ref="CH167:CH174" si="576">AVERAGE(CD167:CG167)</f>
        <v>0</v>
      </c>
      <c r="CI167" s="58">
        <f t="shared" ref="CI167:CI174" si="577">MEDIAN(CD167:CG167)</f>
        <v>0</v>
      </c>
      <c r="CK167" s="61">
        <f t="shared" ref="CK167:CK174" si="578">IFERROR(+CE167/CD167-1,0)</f>
        <v>0</v>
      </c>
      <c r="CL167" s="62">
        <f t="shared" ref="CL167:CL174" si="579">IFERROR(+CF167/CE167-1,0)</f>
        <v>0</v>
      </c>
      <c r="CM167" s="63">
        <f t="shared" ref="CM167:CM174" si="580">IFERROR(+CG167/CF167-1,0)</f>
        <v>0</v>
      </c>
      <c r="CN167" s="61">
        <f t="shared" ref="CN167:CN174" si="581">IFERROR(+CG167/CD167-1,0)</f>
        <v>0</v>
      </c>
      <c r="CO167" s="29"/>
      <c r="CP167" s="61">
        <f t="shared" ref="CP167:CS174" si="582">+CD167/CD$177</f>
        <v>0</v>
      </c>
      <c r="CQ167" s="62">
        <f t="shared" si="582"/>
        <v>0</v>
      </c>
      <c r="CR167" s="63">
        <f t="shared" si="582"/>
        <v>0</v>
      </c>
      <c r="CS167" s="61">
        <f t="shared" si="582"/>
        <v>0</v>
      </c>
      <c r="CU167" s="60">
        <f t="shared" si="524"/>
        <v>0</v>
      </c>
      <c r="CV167" s="132">
        <f t="shared" si="525"/>
        <v>0</v>
      </c>
      <c r="CW167" s="132">
        <f t="shared" si="526"/>
        <v>0</v>
      </c>
      <c r="CX167" s="131">
        <f t="shared" si="527"/>
        <v>0</v>
      </c>
    </row>
    <row r="168" spans="1:102">
      <c r="A168" s="214">
        <v>503</v>
      </c>
      <c r="B168" s="214" t="s">
        <v>48</v>
      </c>
      <c r="C168" s="217" t="s">
        <v>201</v>
      </c>
      <c r="D168" s="216">
        <v>1</v>
      </c>
      <c r="E168" s="57">
        <f>VLOOKUP(A168,AuxOPEXSaneparOriginal!$B$4:$F$177,3,0)</f>
        <v>37054226.179999985</v>
      </c>
      <c r="F168" s="156">
        <f>VLOOKUP(A168,AuxOPEXSaneparOriginal!$B$4:$F$177,4,0)</f>
        <v>72468110.209999904</v>
      </c>
      <c r="G168" s="57">
        <f>VLOOKUP(A168,AuxOPEXSaneparOriginal!$B$4:$K$177,8,0)</f>
        <v>71476631.269999996</v>
      </c>
      <c r="H168" s="156">
        <f>VLOOKUP(A168,AuxOPEXSaneparOriginal!$B$4:$K$177,9,0)</f>
        <v>27602465.870000008</v>
      </c>
      <c r="I168" s="57">
        <f>VLOOKUP(A168,AuxOPEXSaneparOriginal!$B$4:$N$177,13,0)</f>
        <v>0</v>
      </c>
      <c r="J168" s="57">
        <f>VLOOKUP(A168,AuxOPEXSaneparOriginal!$B$4:$Q$177,16,0)</f>
        <v>1091.47</v>
      </c>
      <c r="K168" s="57">
        <f>VLOOKUP(A168,AuxOPEXSaneparOriginal!$B$4:$V$177,21,0)</f>
        <v>0</v>
      </c>
      <c r="L168" s="58">
        <f t="shared" si="532"/>
        <v>208602524.99999991</v>
      </c>
      <c r="M168" s="19">
        <f>VLOOKUP(A168,AuxOPEXSaneparOriginal!$B$4:$AB$177,27,0)</f>
        <v>38520607.530000016</v>
      </c>
      <c r="N168" s="156">
        <f>VLOOKUP(A168,AuxOPEXSaneparOriginal!$B$4:$AC$177,28,0)</f>
        <v>75974617.449999973</v>
      </c>
      <c r="O168" s="156">
        <f>VLOOKUP(A168,AuxOPEXSaneparOriginal!$B$4:$AD$177,29,0)</f>
        <v>78282712.180000022</v>
      </c>
      <c r="P168" s="156">
        <f>VLOOKUP(A168,AuxOPEXSaneparOriginal!$B$4:$AE$177,30,0)</f>
        <v>32823490.34</v>
      </c>
      <c r="Q168" s="19">
        <f>VLOOKUP(A168,AuxOPEXSaneparOriginal!$B$4:$AF$177,31,0)</f>
        <v>0</v>
      </c>
      <c r="R168" s="19">
        <f>VLOOKUP(A168,AuxOPEXSaneparOriginal!$B$4:$AG$177,32,0)</f>
        <v>0</v>
      </c>
      <c r="S168" s="19">
        <f>VLOOKUP(A168,AuxOPEXSaneparOriginal!$B$4:$AH$177,33,0)</f>
        <v>0</v>
      </c>
      <c r="T168" s="58">
        <f t="shared" si="533"/>
        <v>225601427.50000003</v>
      </c>
      <c r="U168" s="156">
        <f>VLOOKUP(A168,AuxOPEXSaneparOriginal!$B$4:$AI$177,34,0)</f>
        <v>39255445.750000015</v>
      </c>
      <c r="V168" s="156">
        <f>VLOOKUP(A168,AuxOPEXSaneparOriginal!$B$4:$AJ$177,35,0)</f>
        <v>80418888.139999941</v>
      </c>
      <c r="W168" s="156">
        <f>VLOOKUP(A168,AuxOPEXSaneparOriginal!$B$4:$AK$177,36,0)</f>
        <v>82409981.11999996</v>
      </c>
      <c r="X168" s="19">
        <f>+VLOOKUP(A168,AuxOPEXSaneparOriginal!$B$4:$AL$177,37,0)</f>
        <v>33322365.250000011</v>
      </c>
      <c r="Y168" s="19">
        <f>VLOOKUP(A168,AuxOPEXSaneparOriginal!$B$4:$AM$177,38,0)</f>
        <v>2000</v>
      </c>
      <c r="Z168" s="19">
        <f>VLOOKUP(A168,AuxOPEXSaneparOriginal!$B$4:$AN$177,39,0)</f>
        <v>0</v>
      </c>
      <c r="AA168" s="19">
        <f>VLOOKUP(A168,AuxOPEXSaneparOriginal!$B$4:$AO$177,40,0)</f>
        <v>0</v>
      </c>
      <c r="AB168" s="58">
        <f t="shared" si="534"/>
        <v>235408680.25999993</v>
      </c>
      <c r="AC168" s="156">
        <f>VLOOKUP(A168,AuxOPEXSaneparOriginal!$B$4:$AP$177,41,0)</f>
        <v>41003794.449999996</v>
      </c>
      <c r="AD168" s="156">
        <f>+VLOOKUP(A168,AuxOPEXSaneparOriginal!$B$4:$AQ$177,42,0)</f>
        <v>88688011.409999982</v>
      </c>
      <c r="AE168" s="156">
        <f>VLOOKUP(A168,AuxOPEXSaneparOriginal!$B$4:$AR$177,43,0)</f>
        <v>87698200.01000005</v>
      </c>
      <c r="AF168" s="156">
        <f>+VLOOKUP(A168,AuxOPEXSaneparOriginal!$B$4:$AS$177,44,0)</f>
        <v>39863626.969999991</v>
      </c>
      <c r="AG168" s="19">
        <f>VLOOKUP(A168,AuxOPEXSaneparOriginal!$B$4:$AT$177,45,0)</f>
        <v>0</v>
      </c>
      <c r="AH168" s="19">
        <f>VLOOKUP(A168,AuxOPEXSaneparOriginal!$B$4:$AU$177,46,0)</f>
        <v>0</v>
      </c>
      <c r="AI168" s="19">
        <f>VLOOKUP(A168,AuxOPEXSaneparOriginal!$B$4:$AV$177,47,0)</f>
        <v>0</v>
      </c>
      <c r="AJ168" s="58">
        <f t="shared" si="535"/>
        <v>257253632.84000003</v>
      </c>
      <c r="AK168" s="58">
        <f t="shared" si="520"/>
        <v>231716566.39999998</v>
      </c>
      <c r="AL168" s="58">
        <f t="shared" si="521"/>
        <v>246331156.54999998</v>
      </c>
      <c r="AN168" s="167">
        <f t="shared" si="536"/>
        <v>0</v>
      </c>
      <c r="AO168" s="168">
        <f t="shared" si="537"/>
        <v>0</v>
      </c>
      <c r="AP168" s="57">
        <f t="shared" si="538"/>
        <v>0</v>
      </c>
      <c r="AQ168" s="57">
        <f t="shared" si="539"/>
        <v>0</v>
      </c>
      <c r="AR168" s="57">
        <f t="shared" si="540"/>
        <v>0</v>
      </c>
      <c r="AS168" s="57">
        <f t="shared" si="541"/>
        <v>0</v>
      </c>
      <c r="AT168" s="57">
        <f t="shared" si="542"/>
        <v>0</v>
      </c>
      <c r="AU168" s="58">
        <f t="shared" si="543"/>
        <v>0</v>
      </c>
      <c r="AV168" s="57">
        <f t="shared" si="544"/>
        <v>0</v>
      </c>
      <c r="AW168" s="57">
        <f t="shared" si="545"/>
        <v>0</v>
      </c>
      <c r="AX168" s="57">
        <f t="shared" si="546"/>
        <v>0</v>
      </c>
      <c r="AY168" s="57">
        <f t="shared" si="547"/>
        <v>0</v>
      </c>
      <c r="AZ168" s="57">
        <f t="shared" si="548"/>
        <v>0</v>
      </c>
      <c r="BA168" s="57">
        <f t="shared" si="549"/>
        <v>0</v>
      </c>
      <c r="BB168" s="57">
        <f t="shared" si="550"/>
        <v>0</v>
      </c>
      <c r="BC168" s="58">
        <f t="shared" si="551"/>
        <v>0</v>
      </c>
      <c r="BD168" s="57">
        <f t="shared" si="552"/>
        <v>0</v>
      </c>
      <c r="BE168" s="57">
        <f t="shared" si="553"/>
        <v>0</v>
      </c>
      <c r="BF168" s="57">
        <f t="shared" si="554"/>
        <v>0</v>
      </c>
      <c r="BG168" s="57">
        <f t="shared" si="555"/>
        <v>0</v>
      </c>
      <c r="BH168" s="57">
        <f t="shared" si="556"/>
        <v>0</v>
      </c>
      <c r="BI168" s="57">
        <f t="shared" si="557"/>
        <v>0</v>
      </c>
      <c r="BJ168" s="57">
        <f t="shared" si="558"/>
        <v>0</v>
      </c>
      <c r="BK168" s="58">
        <f t="shared" si="559"/>
        <v>0</v>
      </c>
      <c r="BL168" s="57">
        <f t="shared" si="560"/>
        <v>0</v>
      </c>
      <c r="BM168" s="57">
        <f t="shared" si="561"/>
        <v>0</v>
      </c>
      <c r="BN168" s="57">
        <f t="shared" si="562"/>
        <v>0</v>
      </c>
      <c r="BO168" s="57">
        <f t="shared" si="563"/>
        <v>0</v>
      </c>
      <c r="BP168" s="57">
        <f t="shared" si="564"/>
        <v>0</v>
      </c>
      <c r="BQ168" s="57">
        <f t="shared" si="565"/>
        <v>0</v>
      </c>
      <c r="BR168" s="57">
        <f t="shared" si="566"/>
        <v>0</v>
      </c>
      <c r="BS168" s="58">
        <f t="shared" si="567"/>
        <v>0</v>
      </c>
      <c r="BT168" s="58">
        <f t="shared" si="522"/>
        <v>0</v>
      </c>
      <c r="BU168" s="58">
        <f t="shared" si="523"/>
        <v>0</v>
      </c>
      <c r="BW168" s="60">
        <f t="shared" si="568"/>
        <v>0</v>
      </c>
      <c r="BX168" s="132">
        <f t="shared" si="569"/>
        <v>0</v>
      </c>
      <c r="BY168" s="132">
        <f t="shared" si="570"/>
        <v>0</v>
      </c>
      <c r="BZ168" s="132">
        <f t="shared" si="571"/>
        <v>0</v>
      </c>
      <c r="CA168" s="60">
        <f t="shared" si="572"/>
        <v>0</v>
      </c>
      <c r="CB168" s="58">
        <f t="shared" si="573"/>
        <v>0</v>
      </c>
      <c r="CD168" s="60">
        <f t="shared" si="574"/>
        <v>0</v>
      </c>
      <c r="CE168" s="132">
        <f t="shared" si="574"/>
        <v>0</v>
      </c>
      <c r="CF168" s="132">
        <f t="shared" si="574"/>
        <v>0</v>
      </c>
      <c r="CG168" s="132">
        <f t="shared" si="575"/>
        <v>0</v>
      </c>
      <c r="CH168" s="60">
        <f t="shared" si="576"/>
        <v>0</v>
      </c>
      <c r="CI168" s="58">
        <f t="shared" si="577"/>
        <v>0</v>
      </c>
      <c r="CK168" s="61">
        <f t="shared" si="578"/>
        <v>0</v>
      </c>
      <c r="CL168" s="62">
        <f t="shared" si="579"/>
        <v>0</v>
      </c>
      <c r="CM168" s="63">
        <f t="shared" si="580"/>
        <v>0</v>
      </c>
      <c r="CN168" s="61">
        <f t="shared" si="581"/>
        <v>0</v>
      </c>
      <c r="CO168" s="29"/>
      <c r="CP168" s="61">
        <f t="shared" si="582"/>
        <v>0</v>
      </c>
      <c r="CQ168" s="62">
        <f t="shared" si="582"/>
        <v>0</v>
      </c>
      <c r="CR168" s="63">
        <f t="shared" si="582"/>
        <v>0</v>
      </c>
      <c r="CS168" s="61">
        <f t="shared" si="582"/>
        <v>0</v>
      </c>
      <c r="CU168" s="60">
        <f t="shared" si="524"/>
        <v>0</v>
      </c>
      <c r="CV168" s="132">
        <f t="shared" si="525"/>
        <v>0</v>
      </c>
      <c r="CW168" s="132">
        <f t="shared" si="526"/>
        <v>0</v>
      </c>
      <c r="CX168" s="131">
        <f t="shared" si="527"/>
        <v>0</v>
      </c>
    </row>
    <row r="169" spans="1:102">
      <c r="A169" s="214">
        <v>504</v>
      </c>
      <c r="B169" s="214" t="s">
        <v>48</v>
      </c>
      <c r="C169" s="217" t="s">
        <v>202</v>
      </c>
      <c r="D169" s="216">
        <v>1</v>
      </c>
      <c r="E169" s="57">
        <f>VLOOKUP(A169,AuxOPEXSaneparOriginal!$B$4:$F$177,3,0)</f>
        <v>0</v>
      </c>
      <c r="F169" s="156">
        <f>VLOOKUP(A169,AuxOPEXSaneparOriginal!$B$4:$F$177,4,0)</f>
        <v>0</v>
      </c>
      <c r="G169" s="57">
        <f>VLOOKUP(A169,AuxOPEXSaneparOriginal!$B$4:$K$177,8,0)</f>
        <v>0</v>
      </c>
      <c r="H169" s="156">
        <f>VLOOKUP(A169,AuxOPEXSaneparOriginal!$B$4:$K$177,9,0)</f>
        <v>0</v>
      </c>
      <c r="I169" s="57">
        <f>VLOOKUP(A169,AuxOPEXSaneparOriginal!$B$4:$N$177,13,0)</f>
        <v>0</v>
      </c>
      <c r="J169" s="57">
        <f>VLOOKUP(A169,AuxOPEXSaneparOriginal!$B$4:$Q$177,16,0)</f>
        <v>0</v>
      </c>
      <c r="K169" s="57">
        <f>VLOOKUP(A169,AuxOPEXSaneparOriginal!$B$4:$V$177,21,0)</f>
        <v>0</v>
      </c>
      <c r="L169" s="58">
        <f t="shared" si="532"/>
        <v>0</v>
      </c>
      <c r="M169" s="19">
        <f>VLOOKUP(A169,AuxOPEXSaneparOriginal!$B$4:$AB$177,27,0)</f>
        <v>0</v>
      </c>
      <c r="N169" s="156">
        <f>VLOOKUP(A169,AuxOPEXSaneparOriginal!$B$4:$AC$177,28,0)</f>
        <v>0</v>
      </c>
      <c r="O169" s="156">
        <f>VLOOKUP(A169,AuxOPEXSaneparOriginal!$B$4:$AD$177,29,0)</f>
        <v>0</v>
      </c>
      <c r="P169" s="156">
        <f>VLOOKUP(A169,AuxOPEXSaneparOriginal!$B$4:$AE$177,30,0)</f>
        <v>0</v>
      </c>
      <c r="Q169" s="19">
        <f>VLOOKUP(A169,AuxOPEXSaneparOriginal!$B$4:$AF$177,31,0)</f>
        <v>0</v>
      </c>
      <c r="R169" s="19">
        <f>VLOOKUP(A169,AuxOPEXSaneparOriginal!$B$4:$AG$177,32,0)</f>
        <v>0</v>
      </c>
      <c r="S169" s="19">
        <f>VLOOKUP(A169,AuxOPEXSaneparOriginal!$B$4:$AH$177,33,0)</f>
        <v>0</v>
      </c>
      <c r="T169" s="58">
        <f t="shared" si="533"/>
        <v>0</v>
      </c>
      <c r="U169" s="156">
        <f>VLOOKUP(A169,AuxOPEXSaneparOriginal!$B$4:$AI$177,34,0)</f>
        <v>1148298.7899999998</v>
      </c>
      <c r="V169" s="156">
        <f>VLOOKUP(A169,AuxOPEXSaneparOriginal!$B$4:$AJ$177,35,0)</f>
        <v>5117637.9300000016</v>
      </c>
      <c r="W169" s="156">
        <f>VLOOKUP(A169,AuxOPEXSaneparOriginal!$B$4:$AK$177,36,0)</f>
        <v>554630.23</v>
      </c>
      <c r="X169" s="19">
        <f>+VLOOKUP(A169,AuxOPEXSaneparOriginal!$B$4:$AL$177,37,0)</f>
        <v>353574.87999999995</v>
      </c>
      <c r="Y169" s="19">
        <f>VLOOKUP(A169,AuxOPEXSaneparOriginal!$B$4:$AM$177,38,0)</f>
        <v>8025519.7800000096</v>
      </c>
      <c r="Z169" s="19">
        <f>VLOOKUP(A169,AuxOPEXSaneparOriginal!$B$4:$AN$177,39,0)</f>
        <v>33050625.109999999</v>
      </c>
      <c r="AA169" s="19">
        <f>VLOOKUP(A169,AuxOPEXSaneparOriginal!$B$4:$AO$177,40,0)</f>
        <v>0</v>
      </c>
      <c r="AB169" s="58">
        <f t="shared" si="534"/>
        <v>48250286.720000014</v>
      </c>
      <c r="AC169" s="156">
        <f>VLOOKUP(A169,AuxOPEXSaneparOriginal!$B$4:$AP$177,41,0)</f>
        <v>813928.9500000003</v>
      </c>
      <c r="AD169" s="156">
        <f>+VLOOKUP(A169,AuxOPEXSaneparOriginal!$B$4:$AQ$177,42,0)</f>
        <v>5460660.6499999939</v>
      </c>
      <c r="AE169" s="156">
        <f>VLOOKUP(A169,AuxOPEXSaneparOriginal!$B$4:$AR$177,43,0)</f>
        <v>671488.79</v>
      </c>
      <c r="AF169" s="156">
        <f>+VLOOKUP(A169,AuxOPEXSaneparOriginal!$B$4:$AS$177,44,0)</f>
        <v>387126.30000000005</v>
      </c>
      <c r="AG169" s="19">
        <f>VLOOKUP(A169,AuxOPEXSaneparOriginal!$B$4:$AT$177,45,0)</f>
        <v>7692651.6199999973</v>
      </c>
      <c r="AH169" s="19">
        <f>VLOOKUP(A169,AuxOPEXSaneparOriginal!$B$4:$AU$177,46,0)</f>
        <v>30962623.700000007</v>
      </c>
      <c r="AI169" s="19">
        <f>VLOOKUP(A169,AuxOPEXSaneparOriginal!$B$4:$AV$177,47,0)</f>
        <v>0</v>
      </c>
      <c r="AJ169" s="58">
        <f t="shared" si="535"/>
        <v>45988480.009999998</v>
      </c>
      <c r="AK169" s="58">
        <f t="shared" si="520"/>
        <v>23559691.682500005</v>
      </c>
      <c r="AL169" s="58">
        <f t="shared" si="521"/>
        <v>47119383.36500001</v>
      </c>
      <c r="AN169" s="167">
        <f t="shared" si="536"/>
        <v>0</v>
      </c>
      <c r="AO169" s="168">
        <f t="shared" si="537"/>
        <v>0</v>
      </c>
      <c r="AP169" s="57">
        <f t="shared" si="538"/>
        <v>0</v>
      </c>
      <c r="AQ169" s="57">
        <f t="shared" si="539"/>
        <v>0</v>
      </c>
      <c r="AR169" s="57">
        <f t="shared" si="540"/>
        <v>0</v>
      </c>
      <c r="AS169" s="57">
        <f t="shared" si="541"/>
        <v>0</v>
      </c>
      <c r="AT169" s="57">
        <f t="shared" si="542"/>
        <v>0</v>
      </c>
      <c r="AU169" s="58">
        <f t="shared" si="543"/>
        <v>0</v>
      </c>
      <c r="AV169" s="57">
        <f t="shared" si="544"/>
        <v>0</v>
      </c>
      <c r="AW169" s="57">
        <f t="shared" si="545"/>
        <v>0</v>
      </c>
      <c r="AX169" s="57">
        <f t="shared" si="546"/>
        <v>0</v>
      </c>
      <c r="AY169" s="57">
        <f t="shared" si="547"/>
        <v>0</v>
      </c>
      <c r="AZ169" s="57">
        <f t="shared" si="548"/>
        <v>0</v>
      </c>
      <c r="BA169" s="57">
        <f t="shared" si="549"/>
        <v>0</v>
      </c>
      <c r="BB169" s="57">
        <f t="shared" si="550"/>
        <v>0</v>
      </c>
      <c r="BC169" s="58">
        <f t="shared" si="551"/>
        <v>0</v>
      </c>
      <c r="BD169" s="57">
        <f t="shared" si="552"/>
        <v>0</v>
      </c>
      <c r="BE169" s="57">
        <f t="shared" si="553"/>
        <v>0</v>
      </c>
      <c r="BF169" s="57">
        <f t="shared" si="554"/>
        <v>0</v>
      </c>
      <c r="BG169" s="57">
        <f t="shared" si="555"/>
        <v>0</v>
      </c>
      <c r="BH169" s="57">
        <f t="shared" si="556"/>
        <v>0</v>
      </c>
      <c r="BI169" s="57">
        <f t="shared" si="557"/>
        <v>0</v>
      </c>
      <c r="BJ169" s="57">
        <f t="shared" si="558"/>
        <v>0</v>
      </c>
      <c r="BK169" s="58">
        <f t="shared" si="559"/>
        <v>0</v>
      </c>
      <c r="BL169" s="57">
        <f t="shared" si="560"/>
        <v>0</v>
      </c>
      <c r="BM169" s="57">
        <f t="shared" si="561"/>
        <v>0</v>
      </c>
      <c r="BN169" s="57">
        <f t="shared" si="562"/>
        <v>0</v>
      </c>
      <c r="BO169" s="57">
        <f t="shared" si="563"/>
        <v>0</v>
      </c>
      <c r="BP169" s="57">
        <f t="shared" si="564"/>
        <v>0</v>
      </c>
      <c r="BQ169" s="57">
        <f t="shared" si="565"/>
        <v>0</v>
      </c>
      <c r="BR169" s="57">
        <f t="shared" si="566"/>
        <v>0</v>
      </c>
      <c r="BS169" s="58">
        <f t="shared" si="567"/>
        <v>0</v>
      </c>
      <c r="BT169" s="58">
        <f t="shared" si="522"/>
        <v>0</v>
      </c>
      <c r="BU169" s="58">
        <f t="shared" si="523"/>
        <v>0</v>
      </c>
      <c r="BW169" s="60">
        <f t="shared" si="568"/>
        <v>0</v>
      </c>
      <c r="BX169" s="132">
        <f t="shared" si="569"/>
        <v>0</v>
      </c>
      <c r="BY169" s="132">
        <f t="shared" si="570"/>
        <v>0</v>
      </c>
      <c r="BZ169" s="132">
        <f t="shared" si="571"/>
        <v>0</v>
      </c>
      <c r="CA169" s="60">
        <f t="shared" si="572"/>
        <v>0</v>
      </c>
      <c r="CB169" s="58">
        <f t="shared" si="573"/>
        <v>0</v>
      </c>
      <c r="CD169" s="60">
        <f t="shared" si="574"/>
        <v>0</v>
      </c>
      <c r="CE169" s="132">
        <f t="shared" si="574"/>
        <v>0</v>
      </c>
      <c r="CF169" s="132">
        <f t="shared" si="574"/>
        <v>0</v>
      </c>
      <c r="CG169" s="132">
        <f t="shared" si="575"/>
        <v>0</v>
      </c>
      <c r="CH169" s="60">
        <f t="shared" si="576"/>
        <v>0</v>
      </c>
      <c r="CI169" s="58">
        <f t="shared" si="577"/>
        <v>0</v>
      </c>
      <c r="CK169" s="61">
        <f t="shared" si="578"/>
        <v>0</v>
      </c>
      <c r="CL169" s="62">
        <f t="shared" si="579"/>
        <v>0</v>
      </c>
      <c r="CM169" s="63">
        <f t="shared" si="580"/>
        <v>0</v>
      </c>
      <c r="CN169" s="61">
        <f t="shared" si="581"/>
        <v>0</v>
      </c>
      <c r="CO169" s="29"/>
      <c r="CP169" s="61">
        <f t="shared" si="582"/>
        <v>0</v>
      </c>
      <c r="CQ169" s="62">
        <f t="shared" si="582"/>
        <v>0</v>
      </c>
      <c r="CR169" s="63">
        <f t="shared" si="582"/>
        <v>0</v>
      </c>
      <c r="CS169" s="61">
        <f t="shared" si="582"/>
        <v>0</v>
      </c>
      <c r="CU169" s="60">
        <f t="shared" si="524"/>
        <v>0</v>
      </c>
      <c r="CV169" s="132">
        <f t="shared" si="525"/>
        <v>0</v>
      </c>
      <c r="CW169" s="132">
        <f t="shared" si="526"/>
        <v>0</v>
      </c>
      <c r="CX169" s="131">
        <f t="shared" si="527"/>
        <v>0</v>
      </c>
    </row>
    <row r="170" spans="1:102">
      <c r="A170" s="214">
        <v>507</v>
      </c>
      <c r="B170" s="214" t="s">
        <v>48</v>
      </c>
      <c r="C170" s="217" t="s">
        <v>203</v>
      </c>
      <c r="D170" s="216">
        <v>1</v>
      </c>
      <c r="E170" s="57">
        <f>VLOOKUP(A170,AuxOPEXSaneparOriginal!$B$4:$F$177,3,0)</f>
        <v>3127.57</v>
      </c>
      <c r="F170" s="156">
        <f>VLOOKUP(A170,AuxOPEXSaneparOriginal!$B$4:$F$177,4,0)</f>
        <v>81.239999999999995</v>
      </c>
      <c r="G170" s="57">
        <f>VLOOKUP(A170,AuxOPEXSaneparOriginal!$B$4:$K$177,8,0)</f>
        <v>0</v>
      </c>
      <c r="H170" s="156">
        <f>VLOOKUP(A170,AuxOPEXSaneparOriginal!$B$4:$K$177,9,0)</f>
        <v>0</v>
      </c>
      <c r="I170" s="57">
        <f>VLOOKUP(A170,AuxOPEXSaneparOriginal!$B$4:$N$177,13,0)</f>
        <v>0</v>
      </c>
      <c r="J170" s="57">
        <f>VLOOKUP(A170,AuxOPEXSaneparOriginal!$B$4:$Q$177,16,0)</f>
        <v>0</v>
      </c>
      <c r="K170" s="57">
        <f>VLOOKUP(A170,AuxOPEXSaneparOriginal!$B$4:$V$177,21,0)</f>
        <v>0</v>
      </c>
      <c r="L170" s="58">
        <f t="shared" si="532"/>
        <v>3208.81</v>
      </c>
      <c r="M170" s="19">
        <f>VLOOKUP(A170,AuxOPEXSaneparOriginal!$B$4:$AB$177,27,0)</f>
        <v>2663.83</v>
      </c>
      <c r="N170" s="156">
        <f>VLOOKUP(A170,AuxOPEXSaneparOriginal!$B$4:$AC$177,28,0)</f>
        <v>81.239999999999995</v>
      </c>
      <c r="O170" s="156">
        <f>VLOOKUP(A170,AuxOPEXSaneparOriginal!$B$4:$AD$177,29,0)</f>
        <v>0</v>
      </c>
      <c r="P170" s="156">
        <f>VLOOKUP(A170,AuxOPEXSaneparOriginal!$B$4:$AE$177,30,0)</f>
        <v>0</v>
      </c>
      <c r="Q170" s="19">
        <f>VLOOKUP(A170,AuxOPEXSaneparOriginal!$B$4:$AF$177,31,0)</f>
        <v>0</v>
      </c>
      <c r="R170" s="19">
        <f>VLOOKUP(A170,AuxOPEXSaneparOriginal!$B$4:$AG$177,32,0)</f>
        <v>0</v>
      </c>
      <c r="S170" s="19">
        <f>VLOOKUP(A170,AuxOPEXSaneparOriginal!$B$4:$AH$177,33,0)</f>
        <v>0</v>
      </c>
      <c r="T170" s="58">
        <f t="shared" si="533"/>
        <v>2745.0699999999997</v>
      </c>
      <c r="U170" s="156">
        <f>VLOOKUP(A170,AuxOPEXSaneparOriginal!$B$4:$AI$177,34,0)</f>
        <v>0</v>
      </c>
      <c r="V170" s="156">
        <f>VLOOKUP(A170,AuxOPEXSaneparOriginal!$B$4:$AJ$177,35,0)</f>
        <v>81.239999999999995</v>
      </c>
      <c r="W170" s="156">
        <f>VLOOKUP(A170,AuxOPEXSaneparOriginal!$B$4:$AK$177,36,0)</f>
        <v>0</v>
      </c>
      <c r="X170" s="19">
        <f>+VLOOKUP(A170,AuxOPEXSaneparOriginal!$B$4:$AL$177,37,0)</f>
        <v>0</v>
      </c>
      <c r="Y170" s="19">
        <f>VLOOKUP(A170,AuxOPEXSaneparOriginal!$B$4:$AM$177,38,0)</f>
        <v>0</v>
      </c>
      <c r="Z170" s="19">
        <f>VLOOKUP(A170,AuxOPEXSaneparOriginal!$B$4:$AN$177,39,0)</f>
        <v>0</v>
      </c>
      <c r="AA170" s="19">
        <f>VLOOKUP(A170,AuxOPEXSaneparOriginal!$B$4:$AO$177,40,0)</f>
        <v>0</v>
      </c>
      <c r="AB170" s="58">
        <f t="shared" si="534"/>
        <v>81.239999999999995</v>
      </c>
      <c r="AC170" s="156">
        <f>VLOOKUP(A170,AuxOPEXSaneparOriginal!$B$4:$AP$177,41,0)</f>
        <v>0</v>
      </c>
      <c r="AD170" s="156">
        <f>+VLOOKUP(A170,AuxOPEXSaneparOriginal!$B$4:$AQ$177,42,0)</f>
        <v>81.239999999999995</v>
      </c>
      <c r="AE170" s="156">
        <f>VLOOKUP(A170,AuxOPEXSaneparOriginal!$B$4:$AR$177,43,0)</f>
        <v>0</v>
      </c>
      <c r="AF170" s="156">
        <f>+VLOOKUP(A170,AuxOPEXSaneparOriginal!$B$4:$AS$177,44,0)</f>
        <v>0</v>
      </c>
      <c r="AG170" s="19">
        <f>VLOOKUP(A170,AuxOPEXSaneparOriginal!$B$4:$AT$177,45,0)</f>
        <v>0</v>
      </c>
      <c r="AH170" s="19">
        <f>VLOOKUP(A170,AuxOPEXSaneparOriginal!$B$4:$AU$177,46,0)</f>
        <v>0</v>
      </c>
      <c r="AI170" s="19">
        <f>VLOOKUP(A170,AuxOPEXSaneparOriginal!$B$4:$AV$177,47,0)</f>
        <v>0</v>
      </c>
      <c r="AJ170" s="58">
        <f t="shared" si="535"/>
        <v>81.239999999999995</v>
      </c>
      <c r="AK170" s="58">
        <f t="shared" si="520"/>
        <v>1529.09</v>
      </c>
      <c r="AL170" s="58">
        <f t="shared" si="521"/>
        <v>81.239999999999995</v>
      </c>
      <c r="AN170" s="167">
        <f t="shared" si="536"/>
        <v>0</v>
      </c>
      <c r="AO170" s="168">
        <f t="shared" si="537"/>
        <v>0</v>
      </c>
      <c r="AP170" s="57">
        <f t="shared" si="538"/>
        <v>0</v>
      </c>
      <c r="AQ170" s="57">
        <f t="shared" si="539"/>
        <v>0</v>
      </c>
      <c r="AR170" s="57">
        <f t="shared" si="540"/>
        <v>0</v>
      </c>
      <c r="AS170" s="57">
        <f t="shared" si="541"/>
        <v>0</v>
      </c>
      <c r="AT170" s="57">
        <f t="shared" si="542"/>
        <v>0</v>
      </c>
      <c r="AU170" s="58">
        <f t="shared" si="543"/>
        <v>0</v>
      </c>
      <c r="AV170" s="57">
        <f t="shared" si="544"/>
        <v>0</v>
      </c>
      <c r="AW170" s="57">
        <f t="shared" si="545"/>
        <v>0</v>
      </c>
      <c r="AX170" s="57">
        <f t="shared" si="546"/>
        <v>0</v>
      </c>
      <c r="AY170" s="57">
        <f t="shared" si="547"/>
        <v>0</v>
      </c>
      <c r="AZ170" s="57">
        <f t="shared" si="548"/>
        <v>0</v>
      </c>
      <c r="BA170" s="57">
        <f t="shared" si="549"/>
        <v>0</v>
      </c>
      <c r="BB170" s="57">
        <f t="shared" si="550"/>
        <v>0</v>
      </c>
      <c r="BC170" s="58">
        <f t="shared" si="551"/>
        <v>0</v>
      </c>
      <c r="BD170" s="57">
        <f t="shared" si="552"/>
        <v>0</v>
      </c>
      <c r="BE170" s="57">
        <f t="shared" si="553"/>
        <v>0</v>
      </c>
      <c r="BF170" s="57">
        <f t="shared" si="554"/>
        <v>0</v>
      </c>
      <c r="BG170" s="57">
        <f t="shared" si="555"/>
        <v>0</v>
      </c>
      <c r="BH170" s="57">
        <f t="shared" si="556"/>
        <v>0</v>
      </c>
      <c r="BI170" s="57">
        <f t="shared" si="557"/>
        <v>0</v>
      </c>
      <c r="BJ170" s="57">
        <f t="shared" si="558"/>
        <v>0</v>
      </c>
      <c r="BK170" s="58">
        <f t="shared" si="559"/>
        <v>0</v>
      </c>
      <c r="BL170" s="57">
        <f t="shared" si="560"/>
        <v>0</v>
      </c>
      <c r="BM170" s="57">
        <f t="shared" si="561"/>
        <v>0</v>
      </c>
      <c r="BN170" s="57">
        <f t="shared" si="562"/>
        <v>0</v>
      </c>
      <c r="BO170" s="57">
        <f t="shared" si="563"/>
        <v>0</v>
      </c>
      <c r="BP170" s="57">
        <f t="shared" si="564"/>
        <v>0</v>
      </c>
      <c r="BQ170" s="57">
        <f t="shared" si="565"/>
        <v>0</v>
      </c>
      <c r="BR170" s="57">
        <f t="shared" si="566"/>
        <v>0</v>
      </c>
      <c r="BS170" s="58">
        <f t="shared" si="567"/>
        <v>0</v>
      </c>
      <c r="BT170" s="58">
        <f t="shared" si="522"/>
        <v>0</v>
      </c>
      <c r="BU170" s="58">
        <f t="shared" si="523"/>
        <v>0</v>
      </c>
      <c r="BW170" s="60">
        <f t="shared" si="568"/>
        <v>0</v>
      </c>
      <c r="BX170" s="132">
        <f t="shared" si="569"/>
        <v>0</v>
      </c>
      <c r="BY170" s="132">
        <f t="shared" si="570"/>
        <v>0</v>
      </c>
      <c r="BZ170" s="132">
        <f t="shared" si="571"/>
        <v>0</v>
      </c>
      <c r="CA170" s="60">
        <f t="shared" si="572"/>
        <v>0</v>
      </c>
      <c r="CB170" s="58">
        <f t="shared" si="573"/>
        <v>0</v>
      </c>
      <c r="CD170" s="60">
        <f t="shared" si="574"/>
        <v>0</v>
      </c>
      <c r="CE170" s="132">
        <f t="shared" si="574"/>
        <v>0</v>
      </c>
      <c r="CF170" s="132">
        <f t="shared" si="574"/>
        <v>0</v>
      </c>
      <c r="CG170" s="132">
        <f t="shared" si="575"/>
        <v>0</v>
      </c>
      <c r="CH170" s="60">
        <f t="shared" si="576"/>
        <v>0</v>
      </c>
      <c r="CI170" s="58">
        <f t="shared" si="577"/>
        <v>0</v>
      </c>
      <c r="CK170" s="61">
        <f t="shared" si="578"/>
        <v>0</v>
      </c>
      <c r="CL170" s="62">
        <f t="shared" si="579"/>
        <v>0</v>
      </c>
      <c r="CM170" s="63">
        <f t="shared" si="580"/>
        <v>0</v>
      </c>
      <c r="CN170" s="61">
        <f t="shared" si="581"/>
        <v>0</v>
      </c>
      <c r="CO170" s="29"/>
      <c r="CP170" s="61">
        <f t="shared" si="582"/>
        <v>0</v>
      </c>
      <c r="CQ170" s="62">
        <f t="shared" si="582"/>
        <v>0</v>
      </c>
      <c r="CR170" s="63">
        <f t="shared" si="582"/>
        <v>0</v>
      </c>
      <c r="CS170" s="61">
        <f t="shared" si="582"/>
        <v>0</v>
      </c>
      <c r="CU170" s="60">
        <f t="shared" si="524"/>
        <v>0</v>
      </c>
      <c r="CV170" s="132">
        <f t="shared" si="525"/>
        <v>0</v>
      </c>
      <c r="CW170" s="132">
        <f t="shared" si="526"/>
        <v>0</v>
      </c>
      <c r="CX170" s="131">
        <f t="shared" si="527"/>
        <v>0</v>
      </c>
    </row>
    <row r="171" spans="1:102">
      <c r="A171" s="214">
        <v>509</v>
      </c>
      <c r="B171" s="214" t="s">
        <v>48</v>
      </c>
      <c r="C171" s="217" t="s">
        <v>204</v>
      </c>
      <c r="D171" s="216">
        <v>1</v>
      </c>
      <c r="E171" s="57">
        <f>VLOOKUP(A171,AuxOPEXSaneparOriginal!$B$4:$F$177,3,0)</f>
        <v>26734.19</v>
      </c>
      <c r="F171" s="156">
        <f>VLOOKUP(A171,AuxOPEXSaneparOriginal!$B$4:$F$177,4,0)</f>
        <v>26785.559999999998</v>
      </c>
      <c r="G171" s="57">
        <f>VLOOKUP(A171,AuxOPEXSaneparOriginal!$B$4:$K$177,8,0)</f>
        <v>0</v>
      </c>
      <c r="H171" s="156">
        <f>VLOOKUP(A171,AuxOPEXSaneparOriginal!$B$4:$K$177,9,0)</f>
        <v>2341.02</v>
      </c>
      <c r="I171" s="57">
        <f>VLOOKUP(A171,AuxOPEXSaneparOriginal!$B$4:$N$177,13,0)</f>
        <v>882.44</v>
      </c>
      <c r="J171" s="57">
        <f>VLOOKUP(A171,AuxOPEXSaneparOriginal!$B$4:$Q$177,16,0)</f>
        <v>4289157.51</v>
      </c>
      <c r="K171" s="57">
        <f>VLOOKUP(A171,AuxOPEXSaneparOriginal!$B$4:$V$177,21,0)</f>
        <v>0</v>
      </c>
      <c r="L171" s="58">
        <f t="shared" si="532"/>
        <v>4345900.72</v>
      </c>
      <c r="M171" s="19">
        <f>VLOOKUP(A171,AuxOPEXSaneparOriginal!$B$4:$AB$177,27,0)</f>
        <v>62903.24</v>
      </c>
      <c r="N171" s="156">
        <f>VLOOKUP(A171,AuxOPEXSaneparOriginal!$B$4:$AC$177,28,0)</f>
        <v>18129.54</v>
      </c>
      <c r="O171" s="156">
        <f>VLOOKUP(A171,AuxOPEXSaneparOriginal!$B$4:$AD$177,29,0)</f>
        <v>0</v>
      </c>
      <c r="P171" s="156">
        <f>VLOOKUP(A171,AuxOPEXSaneparOriginal!$B$4:$AE$177,30,0)</f>
        <v>769.17</v>
      </c>
      <c r="Q171" s="19">
        <f>VLOOKUP(A171,AuxOPEXSaneparOriginal!$B$4:$AF$177,31,0)</f>
        <v>0.01</v>
      </c>
      <c r="R171" s="19">
        <f>VLOOKUP(A171,AuxOPEXSaneparOriginal!$B$4:$AG$177,32,0)</f>
        <v>4994655.4399999995</v>
      </c>
      <c r="S171" s="19">
        <f>VLOOKUP(A171,AuxOPEXSaneparOriginal!$B$4:$AH$177,33,0)</f>
        <v>0</v>
      </c>
      <c r="T171" s="58">
        <f t="shared" si="533"/>
        <v>5076457.3999999994</v>
      </c>
      <c r="U171" s="156">
        <f>VLOOKUP(A171,AuxOPEXSaneparOriginal!$B$4:$AI$177,34,0)</f>
        <v>65503.44</v>
      </c>
      <c r="V171" s="156">
        <f>VLOOKUP(A171,AuxOPEXSaneparOriginal!$B$4:$AJ$177,35,0)</f>
        <v>0</v>
      </c>
      <c r="W171" s="156">
        <f>VLOOKUP(A171,AuxOPEXSaneparOriginal!$B$4:$AK$177,36,0)</f>
        <v>0</v>
      </c>
      <c r="X171" s="19">
        <f>+VLOOKUP(A171,AuxOPEXSaneparOriginal!$B$4:$AL$177,37,0)</f>
        <v>0</v>
      </c>
      <c r="Y171" s="19">
        <f>VLOOKUP(A171,AuxOPEXSaneparOriginal!$B$4:$AM$177,38,0)</f>
        <v>0</v>
      </c>
      <c r="Z171" s="19">
        <f>VLOOKUP(A171,AuxOPEXSaneparOriginal!$B$4:$AN$177,39,0)</f>
        <v>5624336.4700000007</v>
      </c>
      <c r="AA171" s="19">
        <f>VLOOKUP(A171,AuxOPEXSaneparOriginal!$B$4:$AO$177,40,0)</f>
        <v>0</v>
      </c>
      <c r="AB171" s="58">
        <f t="shared" si="534"/>
        <v>5689839.9100000011</v>
      </c>
      <c r="AC171" s="156">
        <f>VLOOKUP(A171,AuxOPEXSaneparOriginal!$B$4:$AP$177,41,0)</f>
        <v>65503.44</v>
      </c>
      <c r="AD171" s="156">
        <f>+VLOOKUP(A171,AuxOPEXSaneparOriginal!$B$4:$AQ$177,42,0)</f>
        <v>0</v>
      </c>
      <c r="AE171" s="156">
        <f>VLOOKUP(A171,AuxOPEXSaneparOriginal!$B$4:$AR$177,43,0)</f>
        <v>0</v>
      </c>
      <c r="AF171" s="156">
        <f>+VLOOKUP(A171,AuxOPEXSaneparOriginal!$B$4:$AS$177,44,0)</f>
        <v>5962.11</v>
      </c>
      <c r="AG171" s="19">
        <f>VLOOKUP(A171,AuxOPEXSaneparOriginal!$B$4:$AT$177,45,0)</f>
        <v>0</v>
      </c>
      <c r="AH171" s="19">
        <f>VLOOKUP(A171,AuxOPEXSaneparOriginal!$B$4:$AU$177,46,0)</f>
        <v>7133287.1300000008</v>
      </c>
      <c r="AI171" s="19">
        <f>VLOOKUP(A171,AuxOPEXSaneparOriginal!$B$4:$AV$177,47,0)</f>
        <v>0</v>
      </c>
      <c r="AJ171" s="58">
        <f t="shared" si="535"/>
        <v>7204752.6800000006</v>
      </c>
      <c r="AK171" s="58">
        <f t="shared" si="520"/>
        <v>5579237.6775000002</v>
      </c>
      <c r="AL171" s="58">
        <f t="shared" si="521"/>
        <v>6447296.2950000009</v>
      </c>
      <c r="AN171" s="167">
        <f t="shared" si="536"/>
        <v>0</v>
      </c>
      <c r="AO171" s="168">
        <f t="shared" si="537"/>
        <v>0</v>
      </c>
      <c r="AP171" s="57">
        <f t="shared" si="538"/>
        <v>0</v>
      </c>
      <c r="AQ171" s="57">
        <f t="shared" si="539"/>
        <v>0</v>
      </c>
      <c r="AR171" s="57">
        <f t="shared" si="540"/>
        <v>0</v>
      </c>
      <c r="AS171" s="57">
        <f t="shared" si="541"/>
        <v>0</v>
      </c>
      <c r="AT171" s="57">
        <f t="shared" si="542"/>
        <v>0</v>
      </c>
      <c r="AU171" s="58">
        <f t="shared" si="543"/>
        <v>0</v>
      </c>
      <c r="AV171" s="57">
        <f t="shared" si="544"/>
        <v>0</v>
      </c>
      <c r="AW171" s="57">
        <f t="shared" si="545"/>
        <v>0</v>
      </c>
      <c r="AX171" s="57">
        <f t="shared" si="546"/>
        <v>0</v>
      </c>
      <c r="AY171" s="57">
        <f t="shared" si="547"/>
        <v>0</v>
      </c>
      <c r="AZ171" s="57">
        <f t="shared" si="548"/>
        <v>0</v>
      </c>
      <c r="BA171" s="57">
        <f t="shared" si="549"/>
        <v>0</v>
      </c>
      <c r="BB171" s="57">
        <f t="shared" si="550"/>
        <v>0</v>
      </c>
      <c r="BC171" s="58">
        <f t="shared" si="551"/>
        <v>0</v>
      </c>
      <c r="BD171" s="57">
        <f t="shared" si="552"/>
        <v>0</v>
      </c>
      <c r="BE171" s="57">
        <f t="shared" si="553"/>
        <v>0</v>
      </c>
      <c r="BF171" s="57">
        <f t="shared" si="554"/>
        <v>0</v>
      </c>
      <c r="BG171" s="57">
        <f t="shared" si="555"/>
        <v>0</v>
      </c>
      <c r="BH171" s="57">
        <f t="shared" si="556"/>
        <v>0</v>
      </c>
      <c r="BI171" s="57">
        <f t="shared" si="557"/>
        <v>0</v>
      </c>
      <c r="BJ171" s="57">
        <f t="shared" si="558"/>
        <v>0</v>
      </c>
      <c r="BK171" s="58">
        <f t="shared" si="559"/>
        <v>0</v>
      </c>
      <c r="BL171" s="57">
        <f t="shared" si="560"/>
        <v>0</v>
      </c>
      <c r="BM171" s="57">
        <f t="shared" si="561"/>
        <v>0</v>
      </c>
      <c r="BN171" s="57">
        <f t="shared" si="562"/>
        <v>0</v>
      </c>
      <c r="BO171" s="57">
        <f t="shared" si="563"/>
        <v>0</v>
      </c>
      <c r="BP171" s="57">
        <f t="shared" si="564"/>
        <v>0</v>
      </c>
      <c r="BQ171" s="57">
        <f t="shared" si="565"/>
        <v>0</v>
      </c>
      <c r="BR171" s="57">
        <f t="shared" si="566"/>
        <v>0</v>
      </c>
      <c r="BS171" s="58">
        <f t="shared" si="567"/>
        <v>0</v>
      </c>
      <c r="BT171" s="58">
        <f t="shared" si="522"/>
        <v>0</v>
      </c>
      <c r="BU171" s="58">
        <f t="shared" si="523"/>
        <v>0</v>
      </c>
      <c r="BW171" s="60">
        <f t="shared" si="568"/>
        <v>0</v>
      </c>
      <c r="BX171" s="132">
        <f t="shared" si="569"/>
        <v>0</v>
      </c>
      <c r="BY171" s="132">
        <f t="shared" si="570"/>
        <v>0</v>
      </c>
      <c r="BZ171" s="132">
        <f t="shared" si="571"/>
        <v>0</v>
      </c>
      <c r="CA171" s="60">
        <f t="shared" si="572"/>
        <v>0</v>
      </c>
      <c r="CB171" s="58">
        <f t="shared" si="573"/>
        <v>0</v>
      </c>
      <c r="CD171" s="60">
        <f t="shared" si="574"/>
        <v>0</v>
      </c>
      <c r="CE171" s="132">
        <f t="shared" si="574"/>
        <v>0</v>
      </c>
      <c r="CF171" s="132">
        <f t="shared" si="574"/>
        <v>0</v>
      </c>
      <c r="CG171" s="132">
        <f t="shared" si="575"/>
        <v>0</v>
      </c>
      <c r="CH171" s="60">
        <f t="shared" si="576"/>
        <v>0</v>
      </c>
      <c r="CI171" s="58">
        <f t="shared" si="577"/>
        <v>0</v>
      </c>
      <c r="CK171" s="61">
        <f t="shared" si="578"/>
        <v>0</v>
      </c>
      <c r="CL171" s="62">
        <f t="shared" si="579"/>
        <v>0</v>
      </c>
      <c r="CM171" s="63">
        <f t="shared" si="580"/>
        <v>0</v>
      </c>
      <c r="CN171" s="61">
        <f t="shared" si="581"/>
        <v>0</v>
      </c>
      <c r="CO171" s="29"/>
      <c r="CP171" s="61">
        <f t="shared" si="582"/>
        <v>0</v>
      </c>
      <c r="CQ171" s="62">
        <f t="shared" si="582"/>
        <v>0</v>
      </c>
      <c r="CR171" s="63">
        <f t="shared" si="582"/>
        <v>0</v>
      </c>
      <c r="CS171" s="61">
        <f t="shared" si="582"/>
        <v>0</v>
      </c>
      <c r="CU171" s="60">
        <f t="shared" si="524"/>
        <v>0</v>
      </c>
      <c r="CV171" s="132">
        <f t="shared" si="525"/>
        <v>0</v>
      </c>
      <c r="CW171" s="132">
        <f t="shared" si="526"/>
        <v>0</v>
      </c>
      <c r="CX171" s="131">
        <f t="shared" si="527"/>
        <v>0</v>
      </c>
    </row>
    <row r="172" spans="1:102">
      <c r="A172" s="214">
        <v>510</v>
      </c>
      <c r="B172" s="214" t="s">
        <v>48</v>
      </c>
      <c r="C172" s="217" t="s">
        <v>205</v>
      </c>
      <c r="D172" s="216">
        <v>1</v>
      </c>
      <c r="E172" s="57">
        <f>VLOOKUP(A172,AuxOPEXSaneparOriginal!$B$4:$F$177,3,0)</f>
        <v>2230705.71</v>
      </c>
      <c r="F172" s="156">
        <f>VLOOKUP(A172,AuxOPEXSaneparOriginal!$B$4:$F$177,4,0)</f>
        <v>0</v>
      </c>
      <c r="G172" s="57">
        <f>VLOOKUP(A172,AuxOPEXSaneparOriginal!$B$4:$K$177,8,0)</f>
        <v>0</v>
      </c>
      <c r="H172" s="156">
        <f>VLOOKUP(A172,AuxOPEXSaneparOriginal!$B$4:$K$177,9,0)</f>
        <v>124131.34</v>
      </c>
      <c r="I172" s="57">
        <f>VLOOKUP(A172,AuxOPEXSaneparOriginal!$B$4:$N$177,13,0)</f>
        <v>0</v>
      </c>
      <c r="J172" s="57">
        <f>VLOOKUP(A172,AuxOPEXSaneparOriginal!$B$4:$Q$177,16,0)</f>
        <v>0</v>
      </c>
      <c r="K172" s="57">
        <f>VLOOKUP(A172,AuxOPEXSaneparOriginal!$B$4:$V$177,21,0)</f>
        <v>0</v>
      </c>
      <c r="L172" s="58">
        <f t="shared" si="532"/>
        <v>2354837.0499999998</v>
      </c>
      <c r="M172" s="19">
        <f>VLOOKUP(A172,AuxOPEXSaneparOriginal!$B$4:$AB$177,27,0)</f>
        <v>1590890.3700000003</v>
      </c>
      <c r="N172" s="156">
        <f>VLOOKUP(A172,AuxOPEXSaneparOriginal!$B$4:$AC$177,28,0)</f>
        <v>0</v>
      </c>
      <c r="O172" s="156">
        <f>VLOOKUP(A172,AuxOPEXSaneparOriginal!$B$4:$AD$177,29,0)</f>
        <v>0</v>
      </c>
      <c r="P172" s="156">
        <f>VLOOKUP(A172,AuxOPEXSaneparOriginal!$B$4:$AE$177,30,0)</f>
        <v>100735.07999999999</v>
      </c>
      <c r="Q172" s="19">
        <f>VLOOKUP(A172,AuxOPEXSaneparOriginal!$B$4:$AF$177,31,0)</f>
        <v>0</v>
      </c>
      <c r="R172" s="19">
        <f>VLOOKUP(A172,AuxOPEXSaneparOriginal!$B$4:$AG$177,32,0)</f>
        <v>0</v>
      </c>
      <c r="S172" s="19">
        <f>VLOOKUP(A172,AuxOPEXSaneparOriginal!$B$4:$AH$177,33,0)</f>
        <v>0</v>
      </c>
      <c r="T172" s="58">
        <f t="shared" si="533"/>
        <v>1691625.4500000004</v>
      </c>
      <c r="U172" s="156">
        <f>VLOOKUP(A172,AuxOPEXSaneparOriginal!$B$4:$AI$177,34,0)</f>
        <v>492667.05000000005</v>
      </c>
      <c r="V172" s="156">
        <f>VLOOKUP(A172,AuxOPEXSaneparOriginal!$B$4:$AJ$177,35,0)</f>
        <v>0</v>
      </c>
      <c r="W172" s="156">
        <f>VLOOKUP(A172,AuxOPEXSaneparOriginal!$B$4:$AK$177,36,0)</f>
        <v>0</v>
      </c>
      <c r="X172" s="19">
        <f>+VLOOKUP(A172,AuxOPEXSaneparOriginal!$B$4:$AL$177,37,0)</f>
        <v>69714.620000000024</v>
      </c>
      <c r="Y172" s="19">
        <f>VLOOKUP(A172,AuxOPEXSaneparOriginal!$B$4:$AM$177,38,0)</f>
        <v>0</v>
      </c>
      <c r="Z172" s="19">
        <f>VLOOKUP(A172,AuxOPEXSaneparOriginal!$B$4:$AN$177,39,0)</f>
        <v>0</v>
      </c>
      <c r="AA172" s="19">
        <f>VLOOKUP(A172,AuxOPEXSaneparOriginal!$B$4:$AO$177,40,0)</f>
        <v>0</v>
      </c>
      <c r="AB172" s="58">
        <f t="shared" si="534"/>
        <v>562381.67000000004</v>
      </c>
      <c r="AC172" s="156">
        <f>VLOOKUP(A172,AuxOPEXSaneparOriginal!$B$4:$AP$177,41,0)</f>
        <v>81609.649999999994</v>
      </c>
      <c r="AD172" s="156">
        <f>+VLOOKUP(A172,AuxOPEXSaneparOriginal!$B$4:$AQ$177,42,0)</f>
        <v>0</v>
      </c>
      <c r="AE172" s="156">
        <f>VLOOKUP(A172,AuxOPEXSaneparOriginal!$B$4:$AR$177,43,0)</f>
        <v>0</v>
      </c>
      <c r="AF172" s="156">
        <f>+VLOOKUP(A172,AuxOPEXSaneparOriginal!$B$4:$AS$177,44,0)</f>
        <v>39391.539999999994</v>
      </c>
      <c r="AG172" s="19">
        <f>VLOOKUP(A172,AuxOPEXSaneparOriginal!$B$4:$AT$177,45,0)</f>
        <v>0</v>
      </c>
      <c r="AH172" s="19">
        <f>VLOOKUP(A172,AuxOPEXSaneparOriginal!$B$4:$AU$177,46,0)</f>
        <v>0</v>
      </c>
      <c r="AI172" s="19">
        <f>VLOOKUP(A172,AuxOPEXSaneparOriginal!$B$4:$AV$177,47,0)</f>
        <v>0</v>
      </c>
      <c r="AJ172" s="58">
        <f t="shared" si="535"/>
        <v>121001.18999999999</v>
      </c>
      <c r="AK172" s="58">
        <f t="shared" si="520"/>
        <v>1182461.3400000001</v>
      </c>
      <c r="AL172" s="58">
        <f t="shared" si="521"/>
        <v>341691.43</v>
      </c>
      <c r="AN172" s="167">
        <f t="shared" si="536"/>
        <v>0</v>
      </c>
      <c r="AO172" s="168">
        <f t="shared" si="537"/>
        <v>0</v>
      </c>
      <c r="AP172" s="57">
        <f t="shared" si="538"/>
        <v>0</v>
      </c>
      <c r="AQ172" s="57">
        <f t="shared" si="539"/>
        <v>0</v>
      </c>
      <c r="AR172" s="57">
        <f t="shared" si="540"/>
        <v>0</v>
      </c>
      <c r="AS172" s="57">
        <f t="shared" si="541"/>
        <v>0</v>
      </c>
      <c r="AT172" s="57">
        <f t="shared" si="542"/>
        <v>0</v>
      </c>
      <c r="AU172" s="58">
        <f t="shared" si="543"/>
        <v>0</v>
      </c>
      <c r="AV172" s="57">
        <f t="shared" si="544"/>
        <v>0</v>
      </c>
      <c r="AW172" s="57">
        <f t="shared" si="545"/>
        <v>0</v>
      </c>
      <c r="AX172" s="57">
        <f t="shared" si="546"/>
        <v>0</v>
      </c>
      <c r="AY172" s="57">
        <f t="shared" si="547"/>
        <v>0</v>
      </c>
      <c r="AZ172" s="57">
        <f t="shared" si="548"/>
        <v>0</v>
      </c>
      <c r="BA172" s="57">
        <f t="shared" si="549"/>
        <v>0</v>
      </c>
      <c r="BB172" s="57">
        <f t="shared" si="550"/>
        <v>0</v>
      </c>
      <c r="BC172" s="58">
        <f t="shared" si="551"/>
        <v>0</v>
      </c>
      <c r="BD172" s="57">
        <f t="shared" si="552"/>
        <v>0</v>
      </c>
      <c r="BE172" s="57">
        <f t="shared" si="553"/>
        <v>0</v>
      </c>
      <c r="BF172" s="57">
        <f t="shared" si="554"/>
        <v>0</v>
      </c>
      <c r="BG172" s="57">
        <f t="shared" si="555"/>
        <v>0</v>
      </c>
      <c r="BH172" s="57">
        <f t="shared" si="556"/>
        <v>0</v>
      </c>
      <c r="BI172" s="57">
        <f t="shared" si="557"/>
        <v>0</v>
      </c>
      <c r="BJ172" s="57">
        <f t="shared" si="558"/>
        <v>0</v>
      </c>
      <c r="BK172" s="58">
        <f t="shared" si="559"/>
        <v>0</v>
      </c>
      <c r="BL172" s="57">
        <f t="shared" si="560"/>
        <v>0</v>
      </c>
      <c r="BM172" s="57">
        <f t="shared" si="561"/>
        <v>0</v>
      </c>
      <c r="BN172" s="57">
        <f t="shared" si="562"/>
        <v>0</v>
      </c>
      <c r="BO172" s="57">
        <f t="shared" si="563"/>
        <v>0</v>
      </c>
      <c r="BP172" s="57">
        <f t="shared" si="564"/>
        <v>0</v>
      </c>
      <c r="BQ172" s="57">
        <f t="shared" si="565"/>
        <v>0</v>
      </c>
      <c r="BR172" s="57">
        <f t="shared" si="566"/>
        <v>0</v>
      </c>
      <c r="BS172" s="58">
        <f t="shared" si="567"/>
        <v>0</v>
      </c>
      <c r="BT172" s="58">
        <f t="shared" si="522"/>
        <v>0</v>
      </c>
      <c r="BU172" s="58">
        <f t="shared" si="523"/>
        <v>0</v>
      </c>
      <c r="BW172" s="60">
        <f t="shared" si="568"/>
        <v>0</v>
      </c>
      <c r="BX172" s="132">
        <f t="shared" si="569"/>
        <v>0</v>
      </c>
      <c r="BY172" s="132">
        <f t="shared" si="570"/>
        <v>0</v>
      </c>
      <c r="BZ172" s="132">
        <f t="shared" si="571"/>
        <v>0</v>
      </c>
      <c r="CA172" s="60">
        <f t="shared" si="572"/>
        <v>0</v>
      </c>
      <c r="CB172" s="58">
        <f t="shared" si="573"/>
        <v>0</v>
      </c>
      <c r="CD172" s="60">
        <f t="shared" si="574"/>
        <v>0</v>
      </c>
      <c r="CE172" s="132">
        <f t="shared" si="574"/>
        <v>0</v>
      </c>
      <c r="CF172" s="132">
        <f t="shared" si="574"/>
        <v>0</v>
      </c>
      <c r="CG172" s="132">
        <f t="shared" si="575"/>
        <v>0</v>
      </c>
      <c r="CH172" s="60">
        <f t="shared" si="576"/>
        <v>0</v>
      </c>
      <c r="CI172" s="58">
        <f t="shared" si="577"/>
        <v>0</v>
      </c>
      <c r="CK172" s="61">
        <f t="shared" si="578"/>
        <v>0</v>
      </c>
      <c r="CL172" s="62">
        <f t="shared" si="579"/>
        <v>0</v>
      </c>
      <c r="CM172" s="63">
        <f t="shared" si="580"/>
        <v>0</v>
      </c>
      <c r="CN172" s="61">
        <f t="shared" si="581"/>
        <v>0</v>
      </c>
      <c r="CO172" s="29"/>
      <c r="CP172" s="61">
        <f t="shared" si="582"/>
        <v>0</v>
      </c>
      <c r="CQ172" s="62">
        <f t="shared" si="582"/>
        <v>0</v>
      </c>
      <c r="CR172" s="63">
        <f t="shared" si="582"/>
        <v>0</v>
      </c>
      <c r="CS172" s="61">
        <f t="shared" si="582"/>
        <v>0</v>
      </c>
      <c r="CU172" s="60">
        <f t="shared" si="524"/>
        <v>0</v>
      </c>
      <c r="CV172" s="132">
        <f t="shared" si="525"/>
        <v>0</v>
      </c>
      <c r="CW172" s="132">
        <f t="shared" si="526"/>
        <v>0</v>
      </c>
      <c r="CX172" s="131">
        <f t="shared" si="527"/>
        <v>0</v>
      </c>
    </row>
    <row r="173" spans="1:102">
      <c r="A173" s="214">
        <v>511</v>
      </c>
      <c r="B173" s="214" t="s">
        <v>48</v>
      </c>
      <c r="C173" s="217" t="s">
        <v>206</v>
      </c>
      <c r="D173" s="216">
        <v>1</v>
      </c>
      <c r="E173" s="57">
        <f>VLOOKUP(A173,AuxOPEXSaneparOriginal!$B$4:$F$177,3,0)</f>
        <v>0</v>
      </c>
      <c r="F173" s="156">
        <f>VLOOKUP(A173,AuxOPEXSaneparOriginal!$B$4:$F$177,4,0)</f>
        <v>0</v>
      </c>
      <c r="G173" s="57">
        <f>VLOOKUP(A173,AuxOPEXSaneparOriginal!$B$4:$K$177,8,0)</f>
        <v>0</v>
      </c>
      <c r="H173" s="156">
        <f>VLOOKUP(A173,AuxOPEXSaneparOriginal!$B$4:$K$177,9,0)</f>
        <v>0</v>
      </c>
      <c r="I173" s="57">
        <f>VLOOKUP(A173,AuxOPEXSaneparOriginal!$B$4:$N$177,13,0)</f>
        <v>4166662.56</v>
      </c>
      <c r="J173" s="57">
        <f>VLOOKUP(A173,AuxOPEXSaneparOriginal!$B$4:$Q$177,16,0)</f>
        <v>0</v>
      </c>
      <c r="K173" s="57">
        <f>VLOOKUP(A173,AuxOPEXSaneparOriginal!$B$4:$V$177,21,0)</f>
        <v>0</v>
      </c>
      <c r="L173" s="58">
        <f t="shared" si="532"/>
        <v>4166662.56</v>
      </c>
      <c r="M173" s="19">
        <f>VLOOKUP(A173,AuxOPEXSaneparOriginal!$B$4:$AB$177,27,0)</f>
        <v>0</v>
      </c>
      <c r="N173" s="156">
        <f>VLOOKUP(A173,AuxOPEXSaneparOriginal!$B$4:$AC$177,28,0)</f>
        <v>0</v>
      </c>
      <c r="O173" s="156">
        <f>VLOOKUP(A173,AuxOPEXSaneparOriginal!$B$4:$AD$177,29,0)</f>
        <v>0</v>
      </c>
      <c r="P173" s="156">
        <f>VLOOKUP(A173,AuxOPEXSaneparOriginal!$B$4:$AE$177,30,0)</f>
        <v>0</v>
      </c>
      <c r="Q173" s="19">
        <f>VLOOKUP(A173,AuxOPEXSaneparOriginal!$B$4:$AF$177,31,0)</f>
        <v>2829859.5900000003</v>
      </c>
      <c r="R173" s="19">
        <f>VLOOKUP(A173,AuxOPEXSaneparOriginal!$B$4:$AG$177,32,0)</f>
        <v>0</v>
      </c>
      <c r="S173" s="19">
        <f>VLOOKUP(A173,AuxOPEXSaneparOriginal!$B$4:$AH$177,33,0)</f>
        <v>0</v>
      </c>
      <c r="T173" s="58">
        <f t="shared" si="533"/>
        <v>2829859.5900000003</v>
      </c>
      <c r="U173" s="156">
        <f>VLOOKUP(A173,AuxOPEXSaneparOriginal!$B$4:$AI$177,34,0)</f>
        <v>0</v>
      </c>
      <c r="V173" s="156">
        <f>VLOOKUP(A173,AuxOPEXSaneparOriginal!$B$4:$AJ$177,35,0)</f>
        <v>0</v>
      </c>
      <c r="W173" s="156">
        <f>VLOOKUP(A173,AuxOPEXSaneparOriginal!$B$4:$AK$177,36,0)</f>
        <v>0</v>
      </c>
      <c r="X173" s="19">
        <f>+VLOOKUP(A173,AuxOPEXSaneparOriginal!$B$4:$AL$177,37,0)</f>
        <v>0</v>
      </c>
      <c r="Y173" s="19">
        <f>VLOOKUP(A173,AuxOPEXSaneparOriginal!$B$4:$AM$177,38,0)</f>
        <v>1875000</v>
      </c>
      <c r="Z173" s="19">
        <f>VLOOKUP(A173,AuxOPEXSaneparOriginal!$B$4:$AN$177,39,0)</f>
        <v>0</v>
      </c>
      <c r="AA173" s="19">
        <f>VLOOKUP(A173,AuxOPEXSaneparOriginal!$B$4:$AO$177,40,0)</f>
        <v>0</v>
      </c>
      <c r="AB173" s="58">
        <f t="shared" si="534"/>
        <v>1875000</v>
      </c>
      <c r="AC173" s="156">
        <f>VLOOKUP(A173,AuxOPEXSaneparOriginal!$B$4:$AP$177,41,0)</f>
        <v>0</v>
      </c>
      <c r="AD173" s="156">
        <f>+VLOOKUP(A173,AuxOPEXSaneparOriginal!$B$4:$AQ$177,42,0)</f>
        <v>0</v>
      </c>
      <c r="AE173" s="156">
        <f>VLOOKUP(A173,AuxOPEXSaneparOriginal!$B$4:$AR$177,43,0)</f>
        <v>0</v>
      </c>
      <c r="AF173" s="156">
        <f>+VLOOKUP(A173,AuxOPEXSaneparOriginal!$B$4:$AS$177,44,0)</f>
        <v>0</v>
      </c>
      <c r="AG173" s="19">
        <f>VLOOKUP(A173,AuxOPEXSaneparOriginal!$B$4:$AT$177,45,0)</f>
        <v>1875000</v>
      </c>
      <c r="AH173" s="19">
        <f>VLOOKUP(A173,AuxOPEXSaneparOriginal!$B$4:$AU$177,46,0)</f>
        <v>6000</v>
      </c>
      <c r="AI173" s="19">
        <f>VLOOKUP(A173,AuxOPEXSaneparOriginal!$B$4:$AV$177,47,0)</f>
        <v>0</v>
      </c>
      <c r="AJ173" s="58">
        <f t="shared" si="535"/>
        <v>1881000</v>
      </c>
      <c r="AK173" s="58">
        <f t="shared" si="520"/>
        <v>2688130.5375000001</v>
      </c>
      <c r="AL173" s="58">
        <f t="shared" si="521"/>
        <v>1878000</v>
      </c>
      <c r="AN173" s="167">
        <f t="shared" si="536"/>
        <v>0</v>
      </c>
      <c r="AO173" s="168">
        <f t="shared" si="537"/>
        <v>0</v>
      </c>
      <c r="AP173" s="57">
        <f t="shared" si="538"/>
        <v>0</v>
      </c>
      <c r="AQ173" s="57">
        <f t="shared" si="539"/>
        <v>0</v>
      </c>
      <c r="AR173" s="57">
        <f t="shared" si="540"/>
        <v>0</v>
      </c>
      <c r="AS173" s="57">
        <f t="shared" si="541"/>
        <v>0</v>
      </c>
      <c r="AT173" s="57">
        <f t="shared" si="542"/>
        <v>0</v>
      </c>
      <c r="AU173" s="58">
        <f t="shared" si="543"/>
        <v>0</v>
      </c>
      <c r="AV173" s="57">
        <f t="shared" si="544"/>
        <v>0</v>
      </c>
      <c r="AW173" s="57">
        <f t="shared" si="545"/>
        <v>0</v>
      </c>
      <c r="AX173" s="57">
        <f t="shared" si="546"/>
        <v>0</v>
      </c>
      <c r="AY173" s="57">
        <f t="shared" si="547"/>
        <v>0</v>
      </c>
      <c r="AZ173" s="57">
        <f t="shared" si="548"/>
        <v>0</v>
      </c>
      <c r="BA173" s="57">
        <f t="shared" si="549"/>
        <v>0</v>
      </c>
      <c r="BB173" s="57">
        <f t="shared" si="550"/>
        <v>0</v>
      </c>
      <c r="BC173" s="58">
        <f t="shared" si="551"/>
        <v>0</v>
      </c>
      <c r="BD173" s="57">
        <f t="shared" si="552"/>
        <v>0</v>
      </c>
      <c r="BE173" s="57">
        <f t="shared" si="553"/>
        <v>0</v>
      </c>
      <c r="BF173" s="57">
        <f t="shared" si="554"/>
        <v>0</v>
      </c>
      <c r="BG173" s="57">
        <f t="shared" si="555"/>
        <v>0</v>
      </c>
      <c r="BH173" s="57">
        <f t="shared" si="556"/>
        <v>0</v>
      </c>
      <c r="BI173" s="57">
        <f t="shared" si="557"/>
        <v>0</v>
      </c>
      <c r="BJ173" s="57">
        <f t="shared" si="558"/>
        <v>0</v>
      </c>
      <c r="BK173" s="58">
        <f t="shared" si="559"/>
        <v>0</v>
      </c>
      <c r="BL173" s="57">
        <f t="shared" si="560"/>
        <v>0</v>
      </c>
      <c r="BM173" s="57">
        <f t="shared" si="561"/>
        <v>0</v>
      </c>
      <c r="BN173" s="57">
        <f t="shared" si="562"/>
        <v>0</v>
      </c>
      <c r="BO173" s="57">
        <f t="shared" si="563"/>
        <v>0</v>
      </c>
      <c r="BP173" s="57">
        <f t="shared" si="564"/>
        <v>0</v>
      </c>
      <c r="BQ173" s="57">
        <f t="shared" si="565"/>
        <v>0</v>
      </c>
      <c r="BR173" s="57">
        <f t="shared" si="566"/>
        <v>0</v>
      </c>
      <c r="BS173" s="58">
        <f t="shared" si="567"/>
        <v>0</v>
      </c>
      <c r="BT173" s="58">
        <f t="shared" si="522"/>
        <v>0</v>
      </c>
      <c r="BU173" s="58">
        <f t="shared" si="523"/>
        <v>0</v>
      </c>
      <c r="BW173" s="60">
        <f t="shared" si="568"/>
        <v>0</v>
      </c>
      <c r="BX173" s="132">
        <f t="shared" si="569"/>
        <v>0</v>
      </c>
      <c r="BY173" s="132">
        <f t="shared" si="570"/>
        <v>0</v>
      </c>
      <c r="BZ173" s="132">
        <f t="shared" si="571"/>
        <v>0</v>
      </c>
      <c r="CA173" s="60">
        <f t="shared" si="572"/>
        <v>0</v>
      </c>
      <c r="CB173" s="58">
        <f t="shared" si="573"/>
        <v>0</v>
      </c>
      <c r="CD173" s="60">
        <f t="shared" si="574"/>
        <v>0</v>
      </c>
      <c r="CE173" s="132">
        <f t="shared" si="574"/>
        <v>0</v>
      </c>
      <c r="CF173" s="132">
        <f t="shared" si="574"/>
        <v>0</v>
      </c>
      <c r="CG173" s="132">
        <f t="shared" si="575"/>
        <v>0</v>
      </c>
      <c r="CH173" s="60">
        <f t="shared" si="576"/>
        <v>0</v>
      </c>
      <c r="CI173" s="58">
        <f t="shared" si="577"/>
        <v>0</v>
      </c>
      <c r="CK173" s="61">
        <f t="shared" si="578"/>
        <v>0</v>
      </c>
      <c r="CL173" s="62">
        <f t="shared" si="579"/>
        <v>0</v>
      </c>
      <c r="CM173" s="63">
        <f t="shared" si="580"/>
        <v>0</v>
      </c>
      <c r="CN173" s="61">
        <f t="shared" si="581"/>
        <v>0</v>
      </c>
      <c r="CO173" s="29"/>
      <c r="CP173" s="61">
        <f t="shared" si="582"/>
        <v>0</v>
      </c>
      <c r="CQ173" s="62">
        <f t="shared" si="582"/>
        <v>0</v>
      </c>
      <c r="CR173" s="63">
        <f t="shared" si="582"/>
        <v>0</v>
      </c>
      <c r="CS173" s="61">
        <f t="shared" si="582"/>
        <v>0</v>
      </c>
      <c r="CU173" s="60">
        <f t="shared" si="524"/>
        <v>0</v>
      </c>
      <c r="CV173" s="132">
        <f t="shared" si="525"/>
        <v>0</v>
      </c>
      <c r="CW173" s="132">
        <f t="shared" si="526"/>
        <v>0</v>
      </c>
      <c r="CX173" s="131">
        <f t="shared" si="527"/>
        <v>0</v>
      </c>
    </row>
    <row r="174" spans="1:102">
      <c r="A174" s="214">
        <v>512</v>
      </c>
      <c r="B174" s="214" t="s">
        <v>48</v>
      </c>
      <c r="C174" s="217" t="s">
        <v>207</v>
      </c>
      <c r="D174" s="216">
        <v>1</v>
      </c>
      <c r="E174" s="57">
        <f>VLOOKUP(A174,AuxOPEXSaneparOriginal!$B$4:$F$177,3,0)</f>
        <v>1785097.6599999985</v>
      </c>
      <c r="F174" s="156">
        <f>VLOOKUP(A174,AuxOPEXSaneparOriginal!$B$4:$F$177,4,0)</f>
        <v>3973209.7499999995</v>
      </c>
      <c r="G174" s="57">
        <f>VLOOKUP(A174,AuxOPEXSaneparOriginal!$B$4:$K$177,8,0)</f>
        <v>4652167.6699999981</v>
      </c>
      <c r="H174" s="156">
        <f>VLOOKUP(A174,AuxOPEXSaneparOriginal!$B$4:$K$177,9,0)</f>
        <v>1778768.6</v>
      </c>
      <c r="I174" s="57">
        <f>VLOOKUP(A174,AuxOPEXSaneparOriginal!$B$4:$N$177,13,0)</f>
        <v>0</v>
      </c>
      <c r="J174" s="57">
        <f>VLOOKUP(A174,AuxOPEXSaneparOriginal!$B$4:$Q$177,16,0)</f>
        <v>0</v>
      </c>
      <c r="K174" s="57">
        <f>VLOOKUP(A174,AuxOPEXSaneparOriginal!$B$4:$V$177,21,0)</f>
        <v>0</v>
      </c>
      <c r="L174" s="58">
        <f t="shared" si="532"/>
        <v>12189243.679999996</v>
      </c>
      <c r="M174" s="19">
        <f>VLOOKUP(A174,AuxOPEXSaneparOriginal!$B$4:$AB$177,27,0)</f>
        <v>2559405.3300000015</v>
      </c>
      <c r="N174" s="156">
        <f>VLOOKUP(A174,AuxOPEXSaneparOriginal!$B$4:$AC$177,28,0)</f>
        <v>6053634.4300000072</v>
      </c>
      <c r="O174" s="156">
        <f>VLOOKUP(A174,AuxOPEXSaneparOriginal!$B$4:$AD$177,29,0)</f>
        <v>8334709.6500000004</v>
      </c>
      <c r="P174" s="156">
        <f>VLOOKUP(A174,AuxOPEXSaneparOriginal!$B$4:$AE$177,30,0)</f>
        <v>3204173.43</v>
      </c>
      <c r="Q174" s="19">
        <f>VLOOKUP(A174,AuxOPEXSaneparOriginal!$B$4:$AF$177,31,0)</f>
        <v>0</v>
      </c>
      <c r="R174" s="19">
        <f>VLOOKUP(A174,AuxOPEXSaneparOriginal!$B$4:$AG$177,32,0)</f>
        <v>0</v>
      </c>
      <c r="S174" s="19">
        <f>VLOOKUP(A174,AuxOPEXSaneparOriginal!$B$4:$AH$177,33,0)</f>
        <v>0</v>
      </c>
      <c r="T174" s="58">
        <f t="shared" si="533"/>
        <v>20151922.840000011</v>
      </c>
      <c r="U174" s="156">
        <f>VLOOKUP(A174,AuxOPEXSaneparOriginal!$B$4:$AI$177,34,0)</f>
        <v>3272960.8299999996</v>
      </c>
      <c r="V174" s="156">
        <f>VLOOKUP(A174,AuxOPEXSaneparOriginal!$B$4:$AJ$177,35,0)</f>
        <v>8346627.4799999958</v>
      </c>
      <c r="W174" s="156">
        <f>VLOOKUP(A174,AuxOPEXSaneparOriginal!$B$4:$AK$177,36,0)</f>
        <v>11335922.579999994</v>
      </c>
      <c r="X174" s="19">
        <f>+VLOOKUP(A174,AuxOPEXSaneparOriginal!$B$4:$AL$177,37,0)</f>
        <v>4312667.6000000006</v>
      </c>
      <c r="Y174" s="19">
        <f>VLOOKUP(A174,AuxOPEXSaneparOriginal!$B$4:$AM$177,38,0)</f>
        <v>0</v>
      </c>
      <c r="Z174" s="19">
        <f>VLOOKUP(A174,AuxOPEXSaneparOriginal!$B$4:$AN$177,39,0)</f>
        <v>0</v>
      </c>
      <c r="AA174" s="19">
        <f>VLOOKUP(A174,AuxOPEXSaneparOriginal!$B$4:$AO$177,40,0)</f>
        <v>0</v>
      </c>
      <c r="AB174" s="58">
        <f t="shared" si="534"/>
        <v>27268178.489999991</v>
      </c>
      <c r="AC174" s="156">
        <f>VLOOKUP(A174,AuxOPEXSaneparOriginal!$B$4:$AP$177,41,0)</f>
        <v>3431583.1300000008</v>
      </c>
      <c r="AD174" s="156">
        <f>+VLOOKUP(A174,AuxOPEXSaneparOriginal!$B$4:$AQ$177,42,0)</f>
        <v>9753279.6599999908</v>
      </c>
      <c r="AE174" s="156">
        <f>VLOOKUP(A174,AuxOPEXSaneparOriginal!$B$4:$AR$177,43,0)</f>
        <v>12622921.369999994</v>
      </c>
      <c r="AF174" s="156">
        <f>+VLOOKUP(A174,AuxOPEXSaneparOriginal!$B$4:$AS$177,44,0)</f>
        <v>3932870.9200000018</v>
      </c>
      <c r="AG174" s="19">
        <f>VLOOKUP(A174,AuxOPEXSaneparOriginal!$B$4:$AT$177,45,0)</f>
        <v>0</v>
      </c>
      <c r="AH174" s="19">
        <f>VLOOKUP(A174,AuxOPEXSaneparOriginal!$B$4:$AU$177,46,0)</f>
        <v>0</v>
      </c>
      <c r="AI174" s="19">
        <f>VLOOKUP(A174,AuxOPEXSaneparOriginal!$B$4:$AV$177,47,0)</f>
        <v>0</v>
      </c>
      <c r="AJ174" s="58">
        <f t="shared" si="535"/>
        <v>29740655.079999987</v>
      </c>
      <c r="AK174" s="58">
        <f t="shared" si="520"/>
        <v>22337500.022499997</v>
      </c>
      <c r="AL174" s="58">
        <f t="shared" si="521"/>
        <v>28504416.784999989</v>
      </c>
      <c r="AN174" s="167">
        <f t="shared" si="536"/>
        <v>0</v>
      </c>
      <c r="AO174" s="168">
        <f t="shared" si="537"/>
        <v>0</v>
      </c>
      <c r="AP174" s="57">
        <f t="shared" si="538"/>
        <v>0</v>
      </c>
      <c r="AQ174" s="57">
        <f t="shared" si="539"/>
        <v>0</v>
      </c>
      <c r="AR174" s="57">
        <f t="shared" si="540"/>
        <v>0</v>
      </c>
      <c r="AS174" s="57">
        <f t="shared" si="541"/>
        <v>0</v>
      </c>
      <c r="AT174" s="57">
        <f t="shared" si="542"/>
        <v>0</v>
      </c>
      <c r="AU174" s="58">
        <f t="shared" si="543"/>
        <v>0</v>
      </c>
      <c r="AV174" s="57">
        <f t="shared" si="544"/>
        <v>0</v>
      </c>
      <c r="AW174" s="57">
        <f t="shared" si="545"/>
        <v>0</v>
      </c>
      <c r="AX174" s="57">
        <f t="shared" si="546"/>
        <v>0</v>
      </c>
      <c r="AY174" s="57">
        <f t="shared" si="547"/>
        <v>0</v>
      </c>
      <c r="AZ174" s="57">
        <f t="shared" si="548"/>
        <v>0</v>
      </c>
      <c r="BA174" s="57">
        <f t="shared" si="549"/>
        <v>0</v>
      </c>
      <c r="BB174" s="57">
        <f t="shared" si="550"/>
        <v>0</v>
      </c>
      <c r="BC174" s="58">
        <f t="shared" si="551"/>
        <v>0</v>
      </c>
      <c r="BD174" s="57">
        <f t="shared" si="552"/>
        <v>0</v>
      </c>
      <c r="BE174" s="57">
        <f t="shared" si="553"/>
        <v>0</v>
      </c>
      <c r="BF174" s="57">
        <f t="shared" si="554"/>
        <v>0</v>
      </c>
      <c r="BG174" s="57">
        <f t="shared" si="555"/>
        <v>0</v>
      </c>
      <c r="BH174" s="57">
        <f t="shared" si="556"/>
        <v>0</v>
      </c>
      <c r="BI174" s="57">
        <f t="shared" si="557"/>
        <v>0</v>
      </c>
      <c r="BJ174" s="57">
        <f t="shared" si="558"/>
        <v>0</v>
      </c>
      <c r="BK174" s="58">
        <f t="shared" si="559"/>
        <v>0</v>
      </c>
      <c r="BL174" s="57">
        <f t="shared" si="560"/>
        <v>0</v>
      </c>
      <c r="BM174" s="57">
        <f t="shared" si="561"/>
        <v>0</v>
      </c>
      <c r="BN174" s="57">
        <f t="shared" si="562"/>
        <v>0</v>
      </c>
      <c r="BO174" s="57">
        <f t="shared" si="563"/>
        <v>0</v>
      </c>
      <c r="BP174" s="57">
        <f t="shared" si="564"/>
        <v>0</v>
      </c>
      <c r="BQ174" s="57">
        <f t="shared" si="565"/>
        <v>0</v>
      </c>
      <c r="BR174" s="57">
        <f t="shared" si="566"/>
        <v>0</v>
      </c>
      <c r="BS174" s="58">
        <f t="shared" si="567"/>
        <v>0</v>
      </c>
      <c r="BT174" s="58">
        <f t="shared" si="522"/>
        <v>0</v>
      </c>
      <c r="BU174" s="58">
        <f t="shared" si="523"/>
        <v>0</v>
      </c>
      <c r="BW174" s="60">
        <f t="shared" si="568"/>
        <v>0</v>
      </c>
      <c r="BX174" s="132">
        <f t="shared" si="569"/>
        <v>0</v>
      </c>
      <c r="BY174" s="132">
        <f t="shared" si="570"/>
        <v>0</v>
      </c>
      <c r="BZ174" s="132">
        <f t="shared" si="571"/>
        <v>0</v>
      </c>
      <c r="CA174" s="60">
        <f t="shared" si="572"/>
        <v>0</v>
      </c>
      <c r="CB174" s="58">
        <f t="shared" si="573"/>
        <v>0</v>
      </c>
      <c r="CD174" s="60">
        <f t="shared" si="574"/>
        <v>0</v>
      </c>
      <c r="CE174" s="132">
        <f t="shared" si="574"/>
        <v>0</v>
      </c>
      <c r="CF174" s="132">
        <f t="shared" si="574"/>
        <v>0</v>
      </c>
      <c r="CG174" s="132">
        <f t="shared" si="575"/>
        <v>0</v>
      </c>
      <c r="CH174" s="60">
        <f t="shared" si="576"/>
        <v>0</v>
      </c>
      <c r="CI174" s="58">
        <f t="shared" si="577"/>
        <v>0</v>
      </c>
      <c r="CK174" s="61">
        <f t="shared" si="578"/>
        <v>0</v>
      </c>
      <c r="CL174" s="62">
        <f t="shared" si="579"/>
        <v>0</v>
      </c>
      <c r="CM174" s="63">
        <f t="shared" si="580"/>
        <v>0</v>
      </c>
      <c r="CN174" s="61">
        <f t="shared" si="581"/>
        <v>0</v>
      </c>
      <c r="CO174" s="29"/>
      <c r="CP174" s="61">
        <f t="shared" si="582"/>
        <v>0</v>
      </c>
      <c r="CQ174" s="62">
        <f t="shared" si="582"/>
        <v>0</v>
      </c>
      <c r="CR174" s="63">
        <f t="shared" si="582"/>
        <v>0</v>
      </c>
      <c r="CS174" s="61">
        <f t="shared" si="582"/>
        <v>0</v>
      </c>
      <c r="CU174" s="60">
        <f t="shared" si="524"/>
        <v>0</v>
      </c>
      <c r="CV174" s="132">
        <f t="shared" si="525"/>
        <v>0</v>
      </c>
      <c r="CW174" s="132">
        <f t="shared" si="526"/>
        <v>0</v>
      </c>
      <c r="CX174" s="131">
        <f t="shared" si="527"/>
        <v>0</v>
      </c>
    </row>
    <row r="175" spans="1:102">
      <c r="B175" s="67" t="s">
        <v>208</v>
      </c>
      <c r="C175" s="75"/>
      <c r="D175" s="69"/>
      <c r="E175" s="70">
        <f t="shared" ref="E175:H175" si="583">SUM(E167:E174)</f>
        <v>41099891.30999998</v>
      </c>
      <c r="F175" s="70">
        <f t="shared" si="583"/>
        <v>76468186.759999901</v>
      </c>
      <c r="G175" s="70">
        <f>SUM(G167:G174)</f>
        <v>76128798.939999998</v>
      </c>
      <c r="H175" s="70">
        <f t="shared" si="583"/>
        <v>29507706.830000009</v>
      </c>
      <c r="I175" s="70">
        <f>SUM(I167:I174)</f>
        <v>6268854.2699999996</v>
      </c>
      <c r="J175" s="70">
        <f>SUM(J167:J174)</f>
        <v>17047986.879999999</v>
      </c>
      <c r="K175" s="70">
        <f>SUM(K167:K174)</f>
        <v>0</v>
      </c>
      <c r="L175" s="70">
        <f t="shared" ref="L175:O175" si="584">SUM(L167:L174)</f>
        <v>246521424.98999992</v>
      </c>
      <c r="M175" s="70">
        <f t="shared" si="584"/>
        <v>42736470.300000012</v>
      </c>
      <c r="N175" s="70">
        <f t="shared" si="584"/>
        <v>82046462.659999982</v>
      </c>
      <c r="O175" s="70">
        <f t="shared" si="584"/>
        <v>86617421.830000028</v>
      </c>
      <c r="P175" s="70">
        <f t="shared" ref="P175:U175" si="585">SUM(P167:P174)</f>
        <v>36129168.020000003</v>
      </c>
      <c r="Q175" s="70">
        <f t="shared" si="585"/>
        <v>4919296.1400000006</v>
      </c>
      <c r="R175" s="70">
        <f t="shared" si="585"/>
        <v>18112978.310000002</v>
      </c>
      <c r="S175" s="70">
        <f t="shared" si="585"/>
        <v>0</v>
      </c>
      <c r="T175" s="70">
        <f t="shared" si="585"/>
        <v>270561797.26000005</v>
      </c>
      <c r="U175" s="70">
        <f t="shared" si="585"/>
        <v>44234875.860000007</v>
      </c>
      <c r="V175" s="70">
        <f t="shared" ref="V175:W175" si="586">SUM(V167:V174)</f>
        <v>93883234.789999932</v>
      </c>
      <c r="W175" s="70">
        <f t="shared" si="586"/>
        <v>94300533.929999962</v>
      </c>
      <c r="X175" s="70">
        <f>SUM(X167:X174)</f>
        <v>38058322.350000009</v>
      </c>
      <c r="Y175" s="70">
        <f>SUM(Y167:Y174)</f>
        <v>11972623.790000008</v>
      </c>
      <c r="Z175" s="70">
        <f>SUM(Z167:Z174)</f>
        <v>53921990.079999998</v>
      </c>
      <c r="AA175" s="70">
        <f>SUM(AA167:AA174)</f>
        <v>0</v>
      </c>
      <c r="AB175" s="70">
        <f>SUM(AB167:AB174)</f>
        <v>336371580.80000001</v>
      </c>
      <c r="AC175" s="70">
        <f t="shared" ref="AC175:AE175" si="587">SUM(AC167:AC174)</f>
        <v>45396419.619999997</v>
      </c>
      <c r="AD175" s="70">
        <f t="shared" si="587"/>
        <v>103902032.95999996</v>
      </c>
      <c r="AE175" s="70">
        <f t="shared" si="587"/>
        <v>100992610.17000005</v>
      </c>
      <c r="AF175" s="70">
        <f>SUM(AF167:AF174)</f>
        <v>44228977.839999989</v>
      </c>
      <c r="AG175" s="70">
        <f>SUM(AG167:AG174)</f>
        <v>11452082.689999998</v>
      </c>
      <c r="AH175" s="70">
        <f>SUM(AH167:AH174)</f>
        <v>54942386.660000019</v>
      </c>
      <c r="AI175" s="70">
        <f>SUM(AI167:AI174)</f>
        <v>0</v>
      </c>
      <c r="AJ175" s="78">
        <f>SUM(AJ167:AJ174)</f>
        <v>360914509.94</v>
      </c>
      <c r="AK175" s="161">
        <f t="shared" si="520"/>
        <v>303592328.2475</v>
      </c>
      <c r="AL175" s="161">
        <f t="shared" si="521"/>
        <v>348643045.37</v>
      </c>
      <c r="AN175" s="133">
        <f t="shared" ref="AN175:AO175" si="588">SUM(AN167:AN174)</f>
        <v>0</v>
      </c>
      <c r="AO175" s="134">
        <f t="shared" si="588"/>
        <v>0</v>
      </c>
      <c r="AP175" s="70">
        <f>SUM(AP167:AP174)</f>
        <v>0</v>
      </c>
      <c r="AQ175" s="70">
        <f t="shared" ref="AQ175" si="589">SUM(AQ167:AQ174)</f>
        <v>0</v>
      </c>
      <c r="AR175" s="70">
        <f>SUM(AR167:AR174)</f>
        <v>0</v>
      </c>
      <c r="AS175" s="70">
        <f>SUM(AS167:AS174)</f>
        <v>0</v>
      </c>
      <c r="AT175" s="70">
        <f>SUM(AT167:AT174)</f>
        <v>0</v>
      </c>
      <c r="AU175" s="70">
        <f t="shared" ref="AU175:AX175" si="590">SUM(AU167:AU174)</f>
        <v>0</v>
      </c>
      <c r="AV175" s="70">
        <f t="shared" si="590"/>
        <v>0</v>
      </c>
      <c r="AW175" s="70">
        <f t="shared" si="590"/>
        <v>0</v>
      </c>
      <c r="AX175" s="70">
        <f t="shared" si="590"/>
        <v>0</v>
      </c>
      <c r="AY175" s="70">
        <f t="shared" ref="AY175" si="591">SUM(AY167:AY174)</f>
        <v>0</v>
      </c>
      <c r="AZ175" s="70">
        <f t="shared" ref="AZ175" si="592">SUM(AZ167:AZ174)</f>
        <v>0</v>
      </c>
      <c r="BA175" s="70">
        <f t="shared" ref="BA175" si="593">SUM(BA167:BA174)</f>
        <v>0</v>
      </c>
      <c r="BB175" s="70">
        <f t="shared" ref="BB175" si="594">SUM(BB167:BB174)</f>
        <v>0</v>
      </c>
      <c r="BC175" s="70">
        <f t="shared" ref="BC175" si="595">SUM(BC167:BC174)</f>
        <v>0</v>
      </c>
      <c r="BD175" s="70">
        <f t="shared" ref="BD175:BF175" si="596">SUM(BD167:BD174)</f>
        <v>0</v>
      </c>
      <c r="BE175" s="70">
        <f t="shared" si="596"/>
        <v>0</v>
      </c>
      <c r="BF175" s="70">
        <f t="shared" si="596"/>
        <v>0</v>
      </c>
      <c r="BG175" s="70">
        <f>SUM(BG167:BG174)</f>
        <v>0</v>
      </c>
      <c r="BH175" s="70">
        <f>SUM(BH167:BH174)</f>
        <v>0</v>
      </c>
      <c r="BI175" s="70">
        <f>SUM(BI167:BI174)</f>
        <v>0</v>
      </c>
      <c r="BJ175" s="70">
        <f>SUM(BJ167:BJ174)</f>
        <v>0</v>
      </c>
      <c r="BK175" s="70">
        <f>SUM(BK167:BK174)</f>
        <v>0</v>
      </c>
      <c r="BL175" s="70">
        <f t="shared" ref="BL175:BN175" si="597">SUM(BL167:BL174)</f>
        <v>0</v>
      </c>
      <c r="BM175" s="70">
        <f t="shared" si="597"/>
        <v>0</v>
      </c>
      <c r="BN175" s="70">
        <f t="shared" si="597"/>
        <v>0</v>
      </c>
      <c r="BO175" s="70">
        <f>SUM(BO167:BO174)</f>
        <v>0</v>
      </c>
      <c r="BP175" s="70">
        <f>SUM(BP167:BP174)</f>
        <v>0</v>
      </c>
      <c r="BQ175" s="70">
        <f>SUM(BQ167:BQ174)</f>
        <v>0</v>
      </c>
      <c r="BR175" s="70">
        <f>SUM(BR167:BR174)</f>
        <v>0</v>
      </c>
      <c r="BS175" s="78">
        <f>SUM(BS167:BS174)</f>
        <v>0</v>
      </c>
      <c r="BT175" s="71">
        <f t="shared" si="522"/>
        <v>0</v>
      </c>
      <c r="BU175" s="71">
        <f t="shared" si="523"/>
        <v>0</v>
      </c>
      <c r="BW175" s="133">
        <f t="shared" ref="BW175:CB175" si="598">SUM(BW167:BW174)</f>
        <v>0</v>
      </c>
      <c r="BX175" s="134">
        <f t="shared" si="598"/>
        <v>0</v>
      </c>
      <c r="BY175" s="134">
        <f t="shared" si="598"/>
        <v>0</v>
      </c>
      <c r="BZ175" s="134">
        <f t="shared" si="598"/>
        <v>0</v>
      </c>
      <c r="CA175" s="133">
        <f t="shared" si="598"/>
        <v>0</v>
      </c>
      <c r="CB175" s="135">
        <f t="shared" si="598"/>
        <v>0</v>
      </c>
      <c r="CD175" s="133">
        <f>SUM(CD167:CD174)</f>
        <v>0</v>
      </c>
      <c r="CE175" s="134">
        <f t="shared" ref="CE175:CI175" si="599">SUM(CE167:CE174)</f>
        <v>0</v>
      </c>
      <c r="CF175" s="134">
        <f t="shared" si="599"/>
        <v>0</v>
      </c>
      <c r="CG175" s="134">
        <f t="shared" si="599"/>
        <v>0</v>
      </c>
      <c r="CH175" s="133">
        <f t="shared" si="599"/>
        <v>0</v>
      </c>
      <c r="CI175" s="135">
        <f t="shared" si="599"/>
        <v>0</v>
      </c>
      <c r="CK175" s="73">
        <f>IFERROR(+CE175/CD175-1,0)</f>
        <v>0</v>
      </c>
      <c r="CL175" s="74">
        <f>IFERROR(+CF175/CE175-1,0)</f>
        <v>0</v>
      </c>
      <c r="CM175" s="74">
        <f>IFERROR(+CG175/CF175-1,0)</f>
        <v>0</v>
      </c>
      <c r="CN175" s="74">
        <f>IFERROR(+CG175/CD175-1,0)</f>
        <v>0</v>
      </c>
      <c r="CO175" s="29"/>
      <c r="CP175" s="73">
        <f>SUM(CP167:CP174)</f>
        <v>0</v>
      </c>
      <c r="CQ175" s="74">
        <f t="shared" ref="CQ175:CS175" si="600">SUM(CQ167:CQ174)</f>
        <v>0</v>
      </c>
      <c r="CR175" s="74">
        <f t="shared" si="600"/>
        <v>0</v>
      </c>
      <c r="CS175" s="74">
        <f t="shared" si="600"/>
        <v>0</v>
      </c>
      <c r="CU175" s="133">
        <f t="shared" si="524"/>
        <v>0</v>
      </c>
      <c r="CV175" s="134">
        <f t="shared" si="525"/>
        <v>0</v>
      </c>
      <c r="CW175" s="134">
        <f t="shared" si="526"/>
        <v>0</v>
      </c>
      <c r="CX175" s="136">
        <f t="shared" si="527"/>
        <v>0</v>
      </c>
    </row>
    <row r="176" spans="1:102">
      <c r="D176" s="29"/>
      <c r="AK176" s="72"/>
      <c r="AL176" s="72"/>
      <c r="BT176" s="72"/>
      <c r="BU176" s="72"/>
      <c r="CA176" s="72"/>
      <c r="CB176" s="72"/>
      <c r="CH176" s="72"/>
      <c r="CI176" s="72"/>
      <c r="CK176" s="44"/>
      <c r="CL176" s="44"/>
      <c r="CM176" s="44"/>
      <c r="CN176" s="44"/>
      <c r="CO176" s="29"/>
      <c r="CP176" s="44"/>
      <c r="CQ176" s="44"/>
      <c r="CR176" s="44"/>
      <c r="CS176" s="44"/>
      <c r="CU176" s="141"/>
      <c r="CV176" s="142"/>
      <c r="CW176" s="142"/>
      <c r="CX176" s="143"/>
    </row>
    <row r="177" spans="2:102">
      <c r="B177" s="67" t="s">
        <v>209</v>
      </c>
      <c r="C177" s="75"/>
      <c r="D177" s="69"/>
      <c r="E177" s="70">
        <f t="shared" ref="E177:AJ177" si="601">+E166+E108+E106+E75+E73+E58+E175</f>
        <v>609849087.99000001</v>
      </c>
      <c r="F177" s="70">
        <f t="shared" si="601"/>
        <v>491638803.33999991</v>
      </c>
      <c r="G177" s="70">
        <f t="shared" si="601"/>
        <v>168481711.03</v>
      </c>
      <c r="H177" s="70">
        <f t="shared" si="601"/>
        <v>270262938.94999999</v>
      </c>
      <c r="I177" s="70">
        <f t="shared" si="601"/>
        <v>607669539.11000013</v>
      </c>
      <c r="J177" s="70">
        <f t="shared" si="601"/>
        <v>628943825.55000007</v>
      </c>
      <c r="K177" s="70">
        <f t="shared" si="601"/>
        <v>456139981.60000002</v>
      </c>
      <c r="L177" s="70">
        <f t="shared" si="601"/>
        <v>3232985887.5700006</v>
      </c>
      <c r="M177" s="70">
        <f t="shared" si="601"/>
        <v>634742206.27000022</v>
      </c>
      <c r="N177" s="70">
        <f t="shared" si="601"/>
        <v>538813786.32000017</v>
      </c>
      <c r="O177" s="70">
        <f t="shared" si="601"/>
        <v>190814126.21000004</v>
      </c>
      <c r="P177" s="70">
        <f t="shared" si="601"/>
        <v>300210495.05000001</v>
      </c>
      <c r="Q177" s="70">
        <f t="shared" si="601"/>
        <v>621967731.96000016</v>
      </c>
      <c r="R177" s="70">
        <f t="shared" si="601"/>
        <v>595817292.86999989</v>
      </c>
      <c r="S177" s="70">
        <f t="shared" si="601"/>
        <v>476942353.28000009</v>
      </c>
      <c r="T177" s="70">
        <f t="shared" si="601"/>
        <v>3359307991.9600005</v>
      </c>
      <c r="U177" s="70">
        <f t="shared" si="601"/>
        <v>696727248.04999983</v>
      </c>
      <c r="V177" s="70">
        <f t="shared" si="601"/>
        <v>581166445.10999942</v>
      </c>
      <c r="W177" s="70">
        <f t="shared" si="601"/>
        <v>197083097.96999991</v>
      </c>
      <c r="X177" s="70">
        <f t="shared" si="601"/>
        <v>367775901.13999999</v>
      </c>
      <c r="Y177" s="70">
        <f t="shared" si="601"/>
        <v>710551651.13999975</v>
      </c>
      <c r="Z177" s="70">
        <f t="shared" si="601"/>
        <v>587072448.30999982</v>
      </c>
      <c r="AA177" s="70">
        <f t="shared" si="601"/>
        <v>660650538.03000009</v>
      </c>
      <c r="AB177" s="70">
        <f t="shared" si="601"/>
        <v>3801027329.749999</v>
      </c>
      <c r="AC177" s="70">
        <f t="shared" si="601"/>
        <v>702439448.91999996</v>
      </c>
      <c r="AD177" s="70">
        <f t="shared" si="601"/>
        <v>573702706.58000028</v>
      </c>
      <c r="AE177" s="70">
        <f t="shared" si="601"/>
        <v>214892059.31000006</v>
      </c>
      <c r="AF177" s="70">
        <f t="shared" si="601"/>
        <v>412902416.42000002</v>
      </c>
      <c r="AG177" s="70">
        <f t="shared" si="601"/>
        <v>795625276.42999959</v>
      </c>
      <c r="AH177" s="70">
        <f t="shared" si="601"/>
        <v>689198793.19999993</v>
      </c>
      <c r="AI177" s="70">
        <f t="shared" si="601"/>
        <v>562451067.06999993</v>
      </c>
      <c r="AJ177" s="70">
        <f t="shared" si="601"/>
        <v>3951211767.9300003</v>
      </c>
      <c r="AK177" s="161">
        <f t="shared" ref="AK177" si="602">AVERAGE(AJ177,AB177,T177,L177)</f>
        <v>3586133244.3024998</v>
      </c>
      <c r="AL177" s="161">
        <f t="shared" ref="AL177" si="603">AVERAGE(AJ177,AB177)</f>
        <v>3876119548.8399997</v>
      </c>
      <c r="AN177" s="133">
        <f t="shared" ref="AN177:BS177" si="604">+AN166+AN108+AN106+AN75+AN73+AN58+AN175</f>
        <v>559338485.7700001</v>
      </c>
      <c r="AO177" s="70">
        <f t="shared" si="604"/>
        <v>407729882.2100001</v>
      </c>
      <c r="AP177" s="70">
        <f t="shared" si="604"/>
        <v>89674681.640000015</v>
      </c>
      <c r="AQ177" s="70">
        <f t="shared" si="604"/>
        <v>235766659.53</v>
      </c>
      <c r="AR177" s="70">
        <f t="shared" si="604"/>
        <v>234999253.58999997</v>
      </c>
      <c r="AS177" s="70">
        <f t="shared" si="604"/>
        <v>562129294.93000019</v>
      </c>
      <c r="AT177" s="70">
        <f t="shared" si="604"/>
        <v>0</v>
      </c>
      <c r="AU177" s="70">
        <f t="shared" si="604"/>
        <v>2089638257.6700001</v>
      </c>
      <c r="AV177" s="70">
        <f t="shared" si="604"/>
        <v>581541131.92000008</v>
      </c>
      <c r="AW177" s="70">
        <f t="shared" si="604"/>
        <v>436554966.29000014</v>
      </c>
      <c r="AX177" s="70">
        <f t="shared" si="604"/>
        <v>89062830.899999976</v>
      </c>
      <c r="AY177" s="70">
        <f t="shared" si="604"/>
        <v>261291669.07000002</v>
      </c>
      <c r="AZ177" s="70">
        <f t="shared" si="604"/>
        <v>242361106.90999991</v>
      </c>
      <c r="BA177" s="70">
        <f t="shared" si="604"/>
        <v>516308795.88999987</v>
      </c>
      <c r="BB177" s="70">
        <f t="shared" si="604"/>
        <v>0</v>
      </c>
      <c r="BC177" s="70">
        <f t="shared" si="604"/>
        <v>2127120500.98</v>
      </c>
      <c r="BD177" s="70">
        <f t="shared" si="604"/>
        <v>644138341.3599999</v>
      </c>
      <c r="BE177" s="70">
        <f t="shared" si="604"/>
        <v>479015905.47999942</v>
      </c>
      <c r="BF177" s="70">
        <f t="shared" si="604"/>
        <v>99073925.049999982</v>
      </c>
      <c r="BG177" s="70">
        <f t="shared" si="604"/>
        <v>324423754.35000002</v>
      </c>
      <c r="BH177" s="70">
        <f t="shared" si="604"/>
        <v>255317192.08999985</v>
      </c>
      <c r="BI177" s="70">
        <f t="shared" si="604"/>
        <v>475810995.46999985</v>
      </c>
      <c r="BJ177" s="70">
        <f t="shared" si="604"/>
        <v>0</v>
      </c>
      <c r="BK177" s="70">
        <f t="shared" si="604"/>
        <v>2277780113.7999992</v>
      </c>
      <c r="BL177" s="70">
        <f t="shared" si="604"/>
        <v>644888830.42999995</v>
      </c>
      <c r="BM177" s="70">
        <f t="shared" si="604"/>
        <v>461767358.40000039</v>
      </c>
      <c r="BN177" s="70">
        <f t="shared" si="604"/>
        <v>108328065.17</v>
      </c>
      <c r="BO177" s="70">
        <f t="shared" si="604"/>
        <v>365480392.46999997</v>
      </c>
      <c r="BP177" s="70">
        <f t="shared" si="604"/>
        <v>264237192.8300001</v>
      </c>
      <c r="BQ177" s="70">
        <f t="shared" si="604"/>
        <v>575531594.19999993</v>
      </c>
      <c r="BR177" s="70">
        <f t="shared" si="604"/>
        <v>0</v>
      </c>
      <c r="BS177" s="70">
        <f t="shared" si="604"/>
        <v>2420233433.500001</v>
      </c>
      <c r="BT177" s="71">
        <f>AVERAGE(BS177,BK177,BC177,AU177)</f>
        <v>2228693076.4875002</v>
      </c>
      <c r="BU177" s="71">
        <f>AVERAGE(BS177,BK177)</f>
        <v>2349006773.6500001</v>
      </c>
      <c r="BW177" s="71">
        <f t="shared" ref="BW177:CB177" si="605">+BW166+BW108+BW106+BW75+BW73+BW58+BW175</f>
        <v>2089638257.6700001</v>
      </c>
      <c r="BX177" s="71">
        <f t="shared" si="605"/>
        <v>2127120500.98</v>
      </c>
      <c r="BY177" s="71">
        <f t="shared" si="605"/>
        <v>2277780113.7999992</v>
      </c>
      <c r="BZ177" s="71">
        <f t="shared" si="605"/>
        <v>2420233433.500001</v>
      </c>
      <c r="CA177" s="71">
        <f t="shared" si="605"/>
        <v>2228693076.4875002</v>
      </c>
      <c r="CB177" s="71">
        <f t="shared" si="605"/>
        <v>2206858111.0650001</v>
      </c>
      <c r="CD177" s="71">
        <f t="shared" ref="CD177:CI177" si="606">+CD166+CD108+CD106+CD75+CD73+CD58+CD175</f>
        <v>2373803776.0902023</v>
      </c>
      <c r="CE177" s="71">
        <f t="shared" si="606"/>
        <v>2322420580.793128</v>
      </c>
      <c r="CF177" s="71">
        <f t="shared" si="606"/>
        <v>2408052964.0705509</v>
      </c>
      <c r="CG177" s="71">
        <f t="shared" si="606"/>
        <v>2420233433.500001</v>
      </c>
      <c r="CH177" s="71">
        <f t="shared" si="606"/>
        <v>2381127688.613471</v>
      </c>
      <c r="CI177" s="71">
        <f t="shared" si="606"/>
        <v>2343995123.053309</v>
      </c>
      <c r="CK177" s="73">
        <f>IFERROR(+CE177/CD177-1,0)</f>
        <v>-2.164593207518839E-2</v>
      </c>
      <c r="CL177" s="74">
        <f>IFERROR(+CF177/CE177-1,0)</f>
        <v>3.6872039451260274E-2</v>
      </c>
      <c r="CM177" s="74">
        <f>IFERROR(+CG177/CF177-1,0)</f>
        <v>5.0582232248166381E-3</v>
      </c>
      <c r="CN177" s="74">
        <f>IFERROR(+CG177/CD177-1,0)</f>
        <v>1.9559180871415949E-2</v>
      </c>
      <c r="CO177" s="29"/>
      <c r="CP177" s="73">
        <f>CP175+CP166+CP108+CP106+CP75+CP58+CP73</f>
        <v>1</v>
      </c>
      <c r="CQ177" s="74">
        <f>CQ175+CQ166+CQ108+CQ106+CQ75+CQ58+CQ73</f>
        <v>1</v>
      </c>
      <c r="CR177" s="74">
        <f>CR175+CR166+CR108+CR106+CR75+CR58+CR73</f>
        <v>0.99999999999999978</v>
      </c>
      <c r="CS177" s="74">
        <f>CS175+CS166+CS108+CS106+CS75+CS58+CS73</f>
        <v>0.99999999999999989</v>
      </c>
      <c r="CU177" s="135">
        <f>IFERROR(+CD177/$CD177*100,0)</f>
        <v>100</v>
      </c>
      <c r="CV177" s="135">
        <f>IFERROR(+CE177/$CD177*100,0)</f>
        <v>97.835406792481166</v>
      </c>
      <c r="CW177" s="135">
        <f>IFERROR(+CF177/$CD177*100,0)</f>
        <v>101.44279777146362</v>
      </c>
      <c r="CX177" s="135">
        <f>IFERROR(+CG177/$CD177*100,0)</f>
        <v>101.9559180871416</v>
      </c>
    </row>
    <row r="178" spans="2:102">
      <c r="G178" s="29"/>
      <c r="I178" s="29"/>
      <c r="J178" s="29"/>
      <c r="K178" s="29"/>
      <c r="L178" s="79">
        <v>2017</v>
      </c>
      <c r="M178" s="29"/>
      <c r="P178" s="29"/>
      <c r="Q178" s="29"/>
      <c r="R178" s="29"/>
      <c r="S178" s="29"/>
      <c r="T178" s="29">
        <v>2018</v>
      </c>
      <c r="U178" s="29"/>
      <c r="X178" s="29"/>
      <c r="Y178" s="29"/>
      <c r="Z178" s="29"/>
      <c r="AA178" s="29"/>
      <c r="AB178" s="79">
        <v>2019</v>
      </c>
      <c r="AC178" s="29"/>
      <c r="AF178" s="29"/>
      <c r="AG178" s="29"/>
      <c r="AH178" s="29"/>
      <c r="AI178" s="29"/>
      <c r="AJ178" s="79">
        <v>2020</v>
      </c>
      <c r="AP178" s="29"/>
      <c r="AR178" s="29"/>
      <c r="AS178" s="29"/>
      <c r="AT178" s="29"/>
      <c r="AU178" s="79">
        <v>2017</v>
      </c>
      <c r="AV178" s="29"/>
      <c r="AY178" s="29"/>
      <c r="AZ178" s="29"/>
      <c r="BA178" s="29"/>
      <c r="BB178" s="29"/>
      <c r="BC178" s="29">
        <v>2018</v>
      </c>
      <c r="BD178" s="29"/>
      <c r="BG178" s="29"/>
      <c r="BH178" s="29"/>
      <c r="BI178" s="29"/>
      <c r="BJ178" s="29"/>
      <c r="BK178" s="79">
        <v>2019</v>
      </c>
      <c r="BL178" s="29"/>
      <c r="BO178" s="29"/>
      <c r="BP178" s="29"/>
      <c r="BQ178" s="29"/>
      <c r="BR178" s="29"/>
      <c r="BS178" s="79">
        <v>2020</v>
      </c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</row>
    <row r="179" spans="2:102"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BW179" s="72"/>
      <c r="BX179" s="72"/>
      <c r="BY179" s="72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</row>
    <row r="180" spans="2:102">
      <c r="L180" s="19"/>
      <c r="T180" s="19"/>
      <c r="AB180" s="19"/>
      <c r="AJ180" s="19"/>
      <c r="CD180" s="19"/>
      <c r="CE180" s="19"/>
      <c r="CF180" s="19"/>
      <c r="CG180" s="19"/>
    </row>
    <row r="181" spans="2:102"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F181" s="19"/>
      <c r="AG181" s="19"/>
      <c r="AH181" s="19"/>
      <c r="AJ181" s="19"/>
    </row>
    <row r="182" spans="2:102">
      <c r="AU182" s="254"/>
      <c r="BC182" s="254"/>
      <c r="BK182" s="254"/>
      <c r="BS182" s="254"/>
    </row>
    <row r="183" spans="2:102">
      <c r="AU183" s="255"/>
      <c r="BC183" s="255"/>
      <c r="BK183" s="255"/>
      <c r="BS183" s="255"/>
    </row>
    <row r="185" spans="2:102">
      <c r="AF185" s="19"/>
      <c r="AG185" s="19"/>
      <c r="AH185" s="19"/>
    </row>
    <row r="186" spans="2:102">
      <c r="B186" s="252"/>
      <c r="C186" s="144"/>
      <c r="D186" s="144"/>
    </row>
  </sheetData>
  <mergeCells count="46">
    <mergeCell ref="BL35:BM35"/>
    <mergeCell ref="BN35:BO35"/>
    <mergeCell ref="BP35:BP36"/>
    <mergeCell ref="BQ35:BQ36"/>
    <mergeCell ref="BR35:BR36"/>
    <mergeCell ref="BD35:BE35"/>
    <mergeCell ref="BF35:BG35"/>
    <mergeCell ref="BH35:BH36"/>
    <mergeCell ref="BI35:BI36"/>
    <mergeCell ref="BJ35:BJ36"/>
    <mergeCell ref="AV35:AW35"/>
    <mergeCell ref="AX35:AY35"/>
    <mergeCell ref="AZ35:AZ36"/>
    <mergeCell ref="BA35:BA36"/>
    <mergeCell ref="BB35:BB36"/>
    <mergeCell ref="AN35:AO35"/>
    <mergeCell ref="AP35:AQ35"/>
    <mergeCell ref="AR35:AR36"/>
    <mergeCell ref="AS35:AS36"/>
    <mergeCell ref="AT35:AT36"/>
    <mergeCell ref="C3:D3"/>
    <mergeCell ref="C19:D19"/>
    <mergeCell ref="A35:A36"/>
    <mergeCell ref="B35:B36"/>
    <mergeCell ref="C35:C36"/>
    <mergeCell ref="D35:D36"/>
    <mergeCell ref="AE35:AF35"/>
    <mergeCell ref="AG35:AG36"/>
    <mergeCell ref="AH35:AH36"/>
    <mergeCell ref="AI35:AI36"/>
    <mergeCell ref="U35:V35"/>
    <mergeCell ref="W35:X35"/>
    <mergeCell ref="Y35:Y36"/>
    <mergeCell ref="Z35:Z36"/>
    <mergeCell ref="AA35:AA36"/>
    <mergeCell ref="AC35:AD35"/>
    <mergeCell ref="M35:N35"/>
    <mergeCell ref="O35:P35"/>
    <mergeCell ref="Q35:Q36"/>
    <mergeCell ref="R35:R36"/>
    <mergeCell ref="S35:S36"/>
    <mergeCell ref="E35:F35"/>
    <mergeCell ref="G35:H35"/>
    <mergeCell ref="I35:I36"/>
    <mergeCell ref="J35:J36"/>
    <mergeCell ref="K35:K3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9"/>
  <dimension ref="B2:P30"/>
  <sheetViews>
    <sheetView showGridLines="0" zoomScale="85" zoomScaleNormal="85" workbookViewId="0">
      <selection activeCell="B18" sqref="B18"/>
    </sheetView>
  </sheetViews>
  <sheetFormatPr defaultRowHeight="16.5"/>
  <cols>
    <col min="1" max="1" width="8.85546875" style="2"/>
    <col min="2" max="2" width="26.42578125" style="2" bestFit="1" customWidth="1"/>
    <col min="3" max="10" width="13.7109375" style="2" customWidth="1"/>
    <col min="11" max="11" width="8.85546875" style="2"/>
    <col min="12" max="12" width="13" style="2" customWidth="1"/>
    <col min="13" max="13" width="12.42578125" style="2" customWidth="1"/>
    <col min="14" max="14" width="11.7109375" style="2" customWidth="1"/>
    <col min="15" max="15" width="11.140625" style="2" customWidth="1"/>
    <col min="16" max="255" width="8.85546875" style="2"/>
    <col min="256" max="256" width="26.42578125" style="2" bestFit="1" customWidth="1"/>
    <col min="257" max="257" width="37.7109375" style="2" customWidth="1"/>
    <col min="258" max="258" width="26.42578125" style="2" bestFit="1" customWidth="1"/>
    <col min="259" max="266" width="13.7109375" style="2" customWidth="1"/>
    <col min="267" max="267" width="8.85546875" style="2"/>
    <col min="268" max="268" width="13" style="2" customWidth="1"/>
    <col min="269" max="269" width="12.42578125" style="2" customWidth="1"/>
    <col min="270" max="270" width="11.7109375" style="2" customWidth="1"/>
    <col min="271" max="271" width="11.140625" style="2" customWidth="1"/>
    <col min="272" max="511" width="8.85546875" style="2"/>
    <col min="512" max="512" width="26.42578125" style="2" bestFit="1" customWidth="1"/>
    <col min="513" max="513" width="37.7109375" style="2" customWidth="1"/>
    <col min="514" max="514" width="26.42578125" style="2" bestFit="1" customWidth="1"/>
    <col min="515" max="522" width="13.7109375" style="2" customWidth="1"/>
    <col min="523" max="523" width="8.85546875" style="2"/>
    <col min="524" max="524" width="13" style="2" customWidth="1"/>
    <col min="525" max="525" width="12.42578125" style="2" customWidth="1"/>
    <col min="526" max="526" width="11.7109375" style="2" customWidth="1"/>
    <col min="527" max="527" width="11.140625" style="2" customWidth="1"/>
    <col min="528" max="767" width="8.85546875" style="2"/>
    <col min="768" max="768" width="26.42578125" style="2" bestFit="1" customWidth="1"/>
    <col min="769" max="769" width="37.7109375" style="2" customWidth="1"/>
    <col min="770" max="770" width="26.42578125" style="2" bestFit="1" customWidth="1"/>
    <col min="771" max="778" width="13.7109375" style="2" customWidth="1"/>
    <col min="779" max="779" width="8.85546875" style="2"/>
    <col min="780" max="780" width="13" style="2" customWidth="1"/>
    <col min="781" max="781" width="12.42578125" style="2" customWidth="1"/>
    <col min="782" max="782" width="11.7109375" style="2" customWidth="1"/>
    <col min="783" max="783" width="11.140625" style="2" customWidth="1"/>
    <col min="784" max="1023" width="8.85546875" style="2"/>
    <col min="1024" max="1024" width="26.42578125" style="2" bestFit="1" customWidth="1"/>
    <col min="1025" max="1025" width="37.7109375" style="2" customWidth="1"/>
    <col min="1026" max="1026" width="26.42578125" style="2" bestFit="1" customWidth="1"/>
    <col min="1027" max="1034" width="13.7109375" style="2" customWidth="1"/>
    <col min="1035" max="1035" width="8.85546875" style="2"/>
    <col min="1036" max="1036" width="13" style="2" customWidth="1"/>
    <col min="1037" max="1037" width="12.42578125" style="2" customWidth="1"/>
    <col min="1038" max="1038" width="11.7109375" style="2" customWidth="1"/>
    <col min="1039" max="1039" width="11.140625" style="2" customWidth="1"/>
    <col min="1040" max="1279" width="8.85546875" style="2"/>
    <col min="1280" max="1280" width="26.42578125" style="2" bestFit="1" customWidth="1"/>
    <col min="1281" max="1281" width="37.7109375" style="2" customWidth="1"/>
    <col min="1282" max="1282" width="26.42578125" style="2" bestFit="1" customWidth="1"/>
    <col min="1283" max="1290" width="13.7109375" style="2" customWidth="1"/>
    <col min="1291" max="1291" width="8.85546875" style="2"/>
    <col min="1292" max="1292" width="13" style="2" customWidth="1"/>
    <col min="1293" max="1293" width="12.42578125" style="2" customWidth="1"/>
    <col min="1294" max="1294" width="11.7109375" style="2" customWidth="1"/>
    <col min="1295" max="1295" width="11.140625" style="2" customWidth="1"/>
    <col min="1296" max="1535" width="8.85546875" style="2"/>
    <col min="1536" max="1536" width="26.42578125" style="2" bestFit="1" customWidth="1"/>
    <col min="1537" max="1537" width="37.7109375" style="2" customWidth="1"/>
    <col min="1538" max="1538" width="26.42578125" style="2" bestFit="1" customWidth="1"/>
    <col min="1539" max="1546" width="13.7109375" style="2" customWidth="1"/>
    <col min="1547" max="1547" width="8.85546875" style="2"/>
    <col min="1548" max="1548" width="13" style="2" customWidth="1"/>
    <col min="1549" max="1549" width="12.42578125" style="2" customWidth="1"/>
    <col min="1550" max="1550" width="11.7109375" style="2" customWidth="1"/>
    <col min="1551" max="1551" width="11.140625" style="2" customWidth="1"/>
    <col min="1552" max="1791" width="8.85546875" style="2"/>
    <col min="1792" max="1792" width="26.42578125" style="2" bestFit="1" customWidth="1"/>
    <col min="1793" max="1793" width="37.7109375" style="2" customWidth="1"/>
    <col min="1794" max="1794" width="26.42578125" style="2" bestFit="1" customWidth="1"/>
    <col min="1795" max="1802" width="13.7109375" style="2" customWidth="1"/>
    <col min="1803" max="1803" width="8.85546875" style="2"/>
    <col min="1804" max="1804" width="13" style="2" customWidth="1"/>
    <col min="1805" max="1805" width="12.42578125" style="2" customWidth="1"/>
    <col min="1806" max="1806" width="11.7109375" style="2" customWidth="1"/>
    <col min="1807" max="1807" width="11.140625" style="2" customWidth="1"/>
    <col min="1808" max="2047" width="8.85546875" style="2"/>
    <col min="2048" max="2048" width="26.42578125" style="2" bestFit="1" customWidth="1"/>
    <col min="2049" max="2049" width="37.7109375" style="2" customWidth="1"/>
    <col min="2050" max="2050" width="26.42578125" style="2" bestFit="1" customWidth="1"/>
    <col min="2051" max="2058" width="13.7109375" style="2" customWidth="1"/>
    <col min="2059" max="2059" width="8.85546875" style="2"/>
    <col min="2060" max="2060" width="13" style="2" customWidth="1"/>
    <col min="2061" max="2061" width="12.42578125" style="2" customWidth="1"/>
    <col min="2062" max="2062" width="11.7109375" style="2" customWidth="1"/>
    <col min="2063" max="2063" width="11.140625" style="2" customWidth="1"/>
    <col min="2064" max="2303" width="8.85546875" style="2"/>
    <col min="2304" max="2304" width="26.42578125" style="2" bestFit="1" customWidth="1"/>
    <col min="2305" max="2305" width="37.7109375" style="2" customWidth="1"/>
    <col min="2306" max="2306" width="26.42578125" style="2" bestFit="1" customWidth="1"/>
    <col min="2307" max="2314" width="13.7109375" style="2" customWidth="1"/>
    <col min="2315" max="2315" width="8.85546875" style="2"/>
    <col min="2316" max="2316" width="13" style="2" customWidth="1"/>
    <col min="2317" max="2317" width="12.42578125" style="2" customWidth="1"/>
    <col min="2318" max="2318" width="11.7109375" style="2" customWidth="1"/>
    <col min="2319" max="2319" width="11.140625" style="2" customWidth="1"/>
    <col min="2320" max="2559" width="8.85546875" style="2"/>
    <col min="2560" max="2560" width="26.42578125" style="2" bestFit="1" customWidth="1"/>
    <col min="2561" max="2561" width="37.7109375" style="2" customWidth="1"/>
    <col min="2562" max="2562" width="26.42578125" style="2" bestFit="1" customWidth="1"/>
    <col min="2563" max="2570" width="13.7109375" style="2" customWidth="1"/>
    <col min="2571" max="2571" width="8.85546875" style="2"/>
    <col min="2572" max="2572" width="13" style="2" customWidth="1"/>
    <col min="2573" max="2573" width="12.42578125" style="2" customWidth="1"/>
    <col min="2574" max="2574" width="11.7109375" style="2" customWidth="1"/>
    <col min="2575" max="2575" width="11.140625" style="2" customWidth="1"/>
    <col min="2576" max="2815" width="8.85546875" style="2"/>
    <col min="2816" max="2816" width="26.42578125" style="2" bestFit="1" customWidth="1"/>
    <col min="2817" max="2817" width="37.7109375" style="2" customWidth="1"/>
    <col min="2818" max="2818" width="26.42578125" style="2" bestFit="1" customWidth="1"/>
    <col min="2819" max="2826" width="13.7109375" style="2" customWidth="1"/>
    <col min="2827" max="2827" width="8.85546875" style="2"/>
    <col min="2828" max="2828" width="13" style="2" customWidth="1"/>
    <col min="2829" max="2829" width="12.42578125" style="2" customWidth="1"/>
    <col min="2830" max="2830" width="11.7109375" style="2" customWidth="1"/>
    <col min="2831" max="2831" width="11.140625" style="2" customWidth="1"/>
    <col min="2832" max="3071" width="8.85546875" style="2"/>
    <col min="3072" max="3072" width="26.42578125" style="2" bestFit="1" customWidth="1"/>
    <col min="3073" max="3073" width="37.7109375" style="2" customWidth="1"/>
    <col min="3074" max="3074" width="26.42578125" style="2" bestFit="1" customWidth="1"/>
    <col min="3075" max="3082" width="13.7109375" style="2" customWidth="1"/>
    <col min="3083" max="3083" width="8.85546875" style="2"/>
    <col min="3084" max="3084" width="13" style="2" customWidth="1"/>
    <col min="3085" max="3085" width="12.42578125" style="2" customWidth="1"/>
    <col min="3086" max="3086" width="11.7109375" style="2" customWidth="1"/>
    <col min="3087" max="3087" width="11.140625" style="2" customWidth="1"/>
    <col min="3088" max="3327" width="8.85546875" style="2"/>
    <col min="3328" max="3328" width="26.42578125" style="2" bestFit="1" customWidth="1"/>
    <col min="3329" max="3329" width="37.7109375" style="2" customWidth="1"/>
    <col min="3330" max="3330" width="26.42578125" style="2" bestFit="1" customWidth="1"/>
    <col min="3331" max="3338" width="13.7109375" style="2" customWidth="1"/>
    <col min="3339" max="3339" width="8.85546875" style="2"/>
    <col min="3340" max="3340" width="13" style="2" customWidth="1"/>
    <col min="3341" max="3341" width="12.42578125" style="2" customWidth="1"/>
    <col min="3342" max="3342" width="11.7109375" style="2" customWidth="1"/>
    <col min="3343" max="3343" width="11.140625" style="2" customWidth="1"/>
    <col min="3344" max="3583" width="8.85546875" style="2"/>
    <col min="3584" max="3584" width="26.42578125" style="2" bestFit="1" customWidth="1"/>
    <col min="3585" max="3585" width="37.7109375" style="2" customWidth="1"/>
    <col min="3586" max="3586" width="26.42578125" style="2" bestFit="1" customWidth="1"/>
    <col min="3587" max="3594" width="13.7109375" style="2" customWidth="1"/>
    <col min="3595" max="3595" width="8.85546875" style="2"/>
    <col min="3596" max="3596" width="13" style="2" customWidth="1"/>
    <col min="3597" max="3597" width="12.42578125" style="2" customWidth="1"/>
    <col min="3598" max="3598" width="11.7109375" style="2" customWidth="1"/>
    <col min="3599" max="3599" width="11.140625" style="2" customWidth="1"/>
    <col min="3600" max="3839" width="8.85546875" style="2"/>
    <col min="3840" max="3840" width="26.42578125" style="2" bestFit="1" customWidth="1"/>
    <col min="3841" max="3841" width="37.7109375" style="2" customWidth="1"/>
    <col min="3842" max="3842" width="26.42578125" style="2" bestFit="1" customWidth="1"/>
    <col min="3843" max="3850" width="13.7109375" style="2" customWidth="1"/>
    <col min="3851" max="3851" width="8.85546875" style="2"/>
    <col min="3852" max="3852" width="13" style="2" customWidth="1"/>
    <col min="3853" max="3853" width="12.42578125" style="2" customWidth="1"/>
    <col min="3854" max="3854" width="11.7109375" style="2" customWidth="1"/>
    <col min="3855" max="3855" width="11.140625" style="2" customWidth="1"/>
    <col min="3856" max="4095" width="8.85546875" style="2"/>
    <col min="4096" max="4096" width="26.42578125" style="2" bestFit="1" customWidth="1"/>
    <col min="4097" max="4097" width="37.7109375" style="2" customWidth="1"/>
    <col min="4098" max="4098" width="26.42578125" style="2" bestFit="1" customWidth="1"/>
    <col min="4099" max="4106" width="13.7109375" style="2" customWidth="1"/>
    <col min="4107" max="4107" width="8.85546875" style="2"/>
    <col min="4108" max="4108" width="13" style="2" customWidth="1"/>
    <col min="4109" max="4109" width="12.42578125" style="2" customWidth="1"/>
    <col min="4110" max="4110" width="11.7109375" style="2" customWidth="1"/>
    <col min="4111" max="4111" width="11.140625" style="2" customWidth="1"/>
    <col min="4112" max="4351" width="8.85546875" style="2"/>
    <col min="4352" max="4352" width="26.42578125" style="2" bestFit="1" customWidth="1"/>
    <col min="4353" max="4353" width="37.7109375" style="2" customWidth="1"/>
    <col min="4354" max="4354" width="26.42578125" style="2" bestFit="1" customWidth="1"/>
    <col min="4355" max="4362" width="13.7109375" style="2" customWidth="1"/>
    <col min="4363" max="4363" width="8.85546875" style="2"/>
    <col min="4364" max="4364" width="13" style="2" customWidth="1"/>
    <col min="4365" max="4365" width="12.42578125" style="2" customWidth="1"/>
    <col min="4366" max="4366" width="11.7109375" style="2" customWidth="1"/>
    <col min="4367" max="4367" width="11.140625" style="2" customWidth="1"/>
    <col min="4368" max="4607" width="8.85546875" style="2"/>
    <col min="4608" max="4608" width="26.42578125" style="2" bestFit="1" customWidth="1"/>
    <col min="4609" max="4609" width="37.7109375" style="2" customWidth="1"/>
    <col min="4610" max="4610" width="26.42578125" style="2" bestFit="1" customWidth="1"/>
    <col min="4611" max="4618" width="13.7109375" style="2" customWidth="1"/>
    <col min="4619" max="4619" width="8.85546875" style="2"/>
    <col min="4620" max="4620" width="13" style="2" customWidth="1"/>
    <col min="4621" max="4621" width="12.42578125" style="2" customWidth="1"/>
    <col min="4622" max="4622" width="11.7109375" style="2" customWidth="1"/>
    <col min="4623" max="4623" width="11.140625" style="2" customWidth="1"/>
    <col min="4624" max="4863" width="8.85546875" style="2"/>
    <col min="4864" max="4864" width="26.42578125" style="2" bestFit="1" customWidth="1"/>
    <col min="4865" max="4865" width="37.7109375" style="2" customWidth="1"/>
    <col min="4866" max="4866" width="26.42578125" style="2" bestFit="1" customWidth="1"/>
    <col min="4867" max="4874" width="13.7109375" style="2" customWidth="1"/>
    <col min="4875" max="4875" width="8.85546875" style="2"/>
    <col min="4876" max="4876" width="13" style="2" customWidth="1"/>
    <col min="4877" max="4877" width="12.42578125" style="2" customWidth="1"/>
    <col min="4878" max="4878" width="11.7109375" style="2" customWidth="1"/>
    <col min="4879" max="4879" width="11.140625" style="2" customWidth="1"/>
    <col min="4880" max="5119" width="8.85546875" style="2"/>
    <col min="5120" max="5120" width="26.42578125" style="2" bestFit="1" customWidth="1"/>
    <col min="5121" max="5121" width="37.7109375" style="2" customWidth="1"/>
    <col min="5122" max="5122" width="26.42578125" style="2" bestFit="1" customWidth="1"/>
    <col min="5123" max="5130" width="13.7109375" style="2" customWidth="1"/>
    <col min="5131" max="5131" width="8.85546875" style="2"/>
    <col min="5132" max="5132" width="13" style="2" customWidth="1"/>
    <col min="5133" max="5133" width="12.42578125" style="2" customWidth="1"/>
    <col min="5134" max="5134" width="11.7109375" style="2" customWidth="1"/>
    <col min="5135" max="5135" width="11.140625" style="2" customWidth="1"/>
    <col min="5136" max="5375" width="8.85546875" style="2"/>
    <col min="5376" max="5376" width="26.42578125" style="2" bestFit="1" customWidth="1"/>
    <col min="5377" max="5377" width="37.7109375" style="2" customWidth="1"/>
    <col min="5378" max="5378" width="26.42578125" style="2" bestFit="1" customWidth="1"/>
    <col min="5379" max="5386" width="13.7109375" style="2" customWidth="1"/>
    <col min="5387" max="5387" width="8.85546875" style="2"/>
    <col min="5388" max="5388" width="13" style="2" customWidth="1"/>
    <col min="5389" max="5389" width="12.42578125" style="2" customWidth="1"/>
    <col min="5390" max="5390" width="11.7109375" style="2" customWidth="1"/>
    <col min="5391" max="5391" width="11.140625" style="2" customWidth="1"/>
    <col min="5392" max="5631" width="8.85546875" style="2"/>
    <col min="5632" max="5632" width="26.42578125" style="2" bestFit="1" customWidth="1"/>
    <col min="5633" max="5633" width="37.7109375" style="2" customWidth="1"/>
    <col min="5634" max="5634" width="26.42578125" style="2" bestFit="1" customWidth="1"/>
    <col min="5635" max="5642" width="13.7109375" style="2" customWidth="1"/>
    <col min="5643" max="5643" width="8.85546875" style="2"/>
    <col min="5644" max="5644" width="13" style="2" customWidth="1"/>
    <col min="5645" max="5645" width="12.42578125" style="2" customWidth="1"/>
    <col min="5646" max="5646" width="11.7109375" style="2" customWidth="1"/>
    <col min="5647" max="5647" width="11.140625" style="2" customWidth="1"/>
    <col min="5648" max="5887" width="8.85546875" style="2"/>
    <col min="5888" max="5888" width="26.42578125" style="2" bestFit="1" customWidth="1"/>
    <col min="5889" max="5889" width="37.7109375" style="2" customWidth="1"/>
    <col min="5890" max="5890" width="26.42578125" style="2" bestFit="1" customWidth="1"/>
    <col min="5891" max="5898" width="13.7109375" style="2" customWidth="1"/>
    <col min="5899" max="5899" width="8.85546875" style="2"/>
    <col min="5900" max="5900" width="13" style="2" customWidth="1"/>
    <col min="5901" max="5901" width="12.42578125" style="2" customWidth="1"/>
    <col min="5902" max="5902" width="11.7109375" style="2" customWidth="1"/>
    <col min="5903" max="5903" width="11.140625" style="2" customWidth="1"/>
    <col min="5904" max="6143" width="8.85546875" style="2"/>
    <col min="6144" max="6144" width="26.42578125" style="2" bestFit="1" customWidth="1"/>
    <col min="6145" max="6145" width="37.7109375" style="2" customWidth="1"/>
    <col min="6146" max="6146" width="26.42578125" style="2" bestFit="1" customWidth="1"/>
    <col min="6147" max="6154" width="13.7109375" style="2" customWidth="1"/>
    <col min="6155" max="6155" width="8.85546875" style="2"/>
    <col min="6156" max="6156" width="13" style="2" customWidth="1"/>
    <col min="6157" max="6157" width="12.42578125" style="2" customWidth="1"/>
    <col min="6158" max="6158" width="11.7109375" style="2" customWidth="1"/>
    <col min="6159" max="6159" width="11.140625" style="2" customWidth="1"/>
    <col min="6160" max="6399" width="8.85546875" style="2"/>
    <col min="6400" max="6400" width="26.42578125" style="2" bestFit="1" customWidth="1"/>
    <col min="6401" max="6401" width="37.7109375" style="2" customWidth="1"/>
    <col min="6402" max="6402" width="26.42578125" style="2" bestFit="1" customWidth="1"/>
    <col min="6403" max="6410" width="13.7109375" style="2" customWidth="1"/>
    <col min="6411" max="6411" width="8.85546875" style="2"/>
    <col min="6412" max="6412" width="13" style="2" customWidth="1"/>
    <col min="6413" max="6413" width="12.42578125" style="2" customWidth="1"/>
    <col min="6414" max="6414" width="11.7109375" style="2" customWidth="1"/>
    <col min="6415" max="6415" width="11.140625" style="2" customWidth="1"/>
    <col min="6416" max="6655" width="8.85546875" style="2"/>
    <col min="6656" max="6656" width="26.42578125" style="2" bestFit="1" customWidth="1"/>
    <col min="6657" max="6657" width="37.7109375" style="2" customWidth="1"/>
    <col min="6658" max="6658" width="26.42578125" style="2" bestFit="1" customWidth="1"/>
    <col min="6659" max="6666" width="13.7109375" style="2" customWidth="1"/>
    <col min="6667" max="6667" width="8.85546875" style="2"/>
    <col min="6668" max="6668" width="13" style="2" customWidth="1"/>
    <col min="6669" max="6669" width="12.42578125" style="2" customWidth="1"/>
    <col min="6670" max="6670" width="11.7109375" style="2" customWidth="1"/>
    <col min="6671" max="6671" width="11.140625" style="2" customWidth="1"/>
    <col min="6672" max="6911" width="8.85546875" style="2"/>
    <col min="6912" max="6912" width="26.42578125" style="2" bestFit="1" customWidth="1"/>
    <col min="6913" max="6913" width="37.7109375" style="2" customWidth="1"/>
    <col min="6914" max="6914" width="26.42578125" style="2" bestFit="1" customWidth="1"/>
    <col min="6915" max="6922" width="13.7109375" style="2" customWidth="1"/>
    <col min="6923" max="6923" width="8.85546875" style="2"/>
    <col min="6924" max="6924" width="13" style="2" customWidth="1"/>
    <col min="6925" max="6925" width="12.42578125" style="2" customWidth="1"/>
    <col min="6926" max="6926" width="11.7109375" style="2" customWidth="1"/>
    <col min="6927" max="6927" width="11.140625" style="2" customWidth="1"/>
    <col min="6928" max="7167" width="8.85546875" style="2"/>
    <col min="7168" max="7168" width="26.42578125" style="2" bestFit="1" customWidth="1"/>
    <col min="7169" max="7169" width="37.7109375" style="2" customWidth="1"/>
    <col min="7170" max="7170" width="26.42578125" style="2" bestFit="1" customWidth="1"/>
    <col min="7171" max="7178" width="13.7109375" style="2" customWidth="1"/>
    <col min="7179" max="7179" width="8.85546875" style="2"/>
    <col min="7180" max="7180" width="13" style="2" customWidth="1"/>
    <col min="7181" max="7181" width="12.42578125" style="2" customWidth="1"/>
    <col min="7182" max="7182" width="11.7109375" style="2" customWidth="1"/>
    <col min="7183" max="7183" width="11.140625" style="2" customWidth="1"/>
    <col min="7184" max="7423" width="8.85546875" style="2"/>
    <col min="7424" max="7424" width="26.42578125" style="2" bestFit="1" customWidth="1"/>
    <col min="7425" max="7425" width="37.7109375" style="2" customWidth="1"/>
    <col min="7426" max="7426" width="26.42578125" style="2" bestFit="1" customWidth="1"/>
    <col min="7427" max="7434" width="13.7109375" style="2" customWidth="1"/>
    <col min="7435" max="7435" width="8.85546875" style="2"/>
    <col min="7436" max="7436" width="13" style="2" customWidth="1"/>
    <col min="7437" max="7437" width="12.42578125" style="2" customWidth="1"/>
    <col min="7438" max="7438" width="11.7109375" style="2" customWidth="1"/>
    <col min="7439" max="7439" width="11.140625" style="2" customWidth="1"/>
    <col min="7440" max="7679" width="8.85546875" style="2"/>
    <col min="7680" max="7680" width="26.42578125" style="2" bestFit="1" customWidth="1"/>
    <col min="7681" max="7681" width="37.7109375" style="2" customWidth="1"/>
    <col min="7682" max="7682" width="26.42578125" style="2" bestFit="1" customWidth="1"/>
    <col min="7683" max="7690" width="13.7109375" style="2" customWidth="1"/>
    <col min="7691" max="7691" width="8.85546875" style="2"/>
    <col min="7692" max="7692" width="13" style="2" customWidth="1"/>
    <col min="7693" max="7693" width="12.42578125" style="2" customWidth="1"/>
    <col min="7694" max="7694" width="11.7109375" style="2" customWidth="1"/>
    <col min="7695" max="7695" width="11.140625" style="2" customWidth="1"/>
    <col min="7696" max="7935" width="8.85546875" style="2"/>
    <col min="7936" max="7936" width="26.42578125" style="2" bestFit="1" customWidth="1"/>
    <col min="7937" max="7937" width="37.7109375" style="2" customWidth="1"/>
    <col min="7938" max="7938" width="26.42578125" style="2" bestFit="1" customWidth="1"/>
    <col min="7939" max="7946" width="13.7109375" style="2" customWidth="1"/>
    <col min="7947" max="7947" width="8.85546875" style="2"/>
    <col min="7948" max="7948" width="13" style="2" customWidth="1"/>
    <col min="7949" max="7949" width="12.42578125" style="2" customWidth="1"/>
    <col min="7950" max="7950" width="11.7109375" style="2" customWidth="1"/>
    <col min="7951" max="7951" width="11.140625" style="2" customWidth="1"/>
    <col min="7952" max="8191" width="8.85546875" style="2"/>
    <col min="8192" max="8192" width="26.42578125" style="2" bestFit="1" customWidth="1"/>
    <col min="8193" max="8193" width="37.7109375" style="2" customWidth="1"/>
    <col min="8194" max="8194" width="26.42578125" style="2" bestFit="1" customWidth="1"/>
    <col min="8195" max="8202" width="13.7109375" style="2" customWidth="1"/>
    <col min="8203" max="8203" width="8.85546875" style="2"/>
    <col min="8204" max="8204" width="13" style="2" customWidth="1"/>
    <col min="8205" max="8205" width="12.42578125" style="2" customWidth="1"/>
    <col min="8206" max="8206" width="11.7109375" style="2" customWidth="1"/>
    <col min="8207" max="8207" width="11.140625" style="2" customWidth="1"/>
    <col min="8208" max="8447" width="8.85546875" style="2"/>
    <col min="8448" max="8448" width="26.42578125" style="2" bestFit="1" customWidth="1"/>
    <col min="8449" max="8449" width="37.7109375" style="2" customWidth="1"/>
    <col min="8450" max="8450" width="26.42578125" style="2" bestFit="1" customWidth="1"/>
    <col min="8451" max="8458" width="13.7109375" style="2" customWidth="1"/>
    <col min="8459" max="8459" width="8.85546875" style="2"/>
    <col min="8460" max="8460" width="13" style="2" customWidth="1"/>
    <col min="8461" max="8461" width="12.42578125" style="2" customWidth="1"/>
    <col min="8462" max="8462" width="11.7109375" style="2" customWidth="1"/>
    <col min="8463" max="8463" width="11.140625" style="2" customWidth="1"/>
    <col min="8464" max="8703" width="8.85546875" style="2"/>
    <col min="8704" max="8704" width="26.42578125" style="2" bestFit="1" customWidth="1"/>
    <col min="8705" max="8705" width="37.7109375" style="2" customWidth="1"/>
    <col min="8706" max="8706" width="26.42578125" style="2" bestFit="1" customWidth="1"/>
    <col min="8707" max="8714" width="13.7109375" style="2" customWidth="1"/>
    <col min="8715" max="8715" width="8.85546875" style="2"/>
    <col min="8716" max="8716" width="13" style="2" customWidth="1"/>
    <col min="8717" max="8717" width="12.42578125" style="2" customWidth="1"/>
    <col min="8718" max="8718" width="11.7109375" style="2" customWidth="1"/>
    <col min="8719" max="8719" width="11.140625" style="2" customWidth="1"/>
    <col min="8720" max="8959" width="8.85546875" style="2"/>
    <col min="8960" max="8960" width="26.42578125" style="2" bestFit="1" customWidth="1"/>
    <col min="8961" max="8961" width="37.7109375" style="2" customWidth="1"/>
    <col min="8962" max="8962" width="26.42578125" style="2" bestFit="1" customWidth="1"/>
    <col min="8963" max="8970" width="13.7109375" style="2" customWidth="1"/>
    <col min="8971" max="8971" width="8.85546875" style="2"/>
    <col min="8972" max="8972" width="13" style="2" customWidth="1"/>
    <col min="8973" max="8973" width="12.42578125" style="2" customWidth="1"/>
    <col min="8974" max="8974" width="11.7109375" style="2" customWidth="1"/>
    <col min="8975" max="8975" width="11.140625" style="2" customWidth="1"/>
    <col min="8976" max="9215" width="8.85546875" style="2"/>
    <col min="9216" max="9216" width="26.42578125" style="2" bestFit="1" customWidth="1"/>
    <col min="9217" max="9217" width="37.7109375" style="2" customWidth="1"/>
    <col min="9218" max="9218" width="26.42578125" style="2" bestFit="1" customWidth="1"/>
    <col min="9219" max="9226" width="13.7109375" style="2" customWidth="1"/>
    <col min="9227" max="9227" width="8.85546875" style="2"/>
    <col min="9228" max="9228" width="13" style="2" customWidth="1"/>
    <col min="9229" max="9229" width="12.42578125" style="2" customWidth="1"/>
    <col min="9230" max="9230" width="11.7109375" style="2" customWidth="1"/>
    <col min="9231" max="9231" width="11.140625" style="2" customWidth="1"/>
    <col min="9232" max="9471" width="8.85546875" style="2"/>
    <col min="9472" max="9472" width="26.42578125" style="2" bestFit="1" customWidth="1"/>
    <col min="9473" max="9473" width="37.7109375" style="2" customWidth="1"/>
    <col min="9474" max="9474" width="26.42578125" style="2" bestFit="1" customWidth="1"/>
    <col min="9475" max="9482" width="13.7109375" style="2" customWidth="1"/>
    <col min="9483" max="9483" width="8.85546875" style="2"/>
    <col min="9484" max="9484" width="13" style="2" customWidth="1"/>
    <col min="9485" max="9485" width="12.42578125" style="2" customWidth="1"/>
    <col min="9486" max="9486" width="11.7109375" style="2" customWidth="1"/>
    <col min="9487" max="9487" width="11.140625" style="2" customWidth="1"/>
    <col min="9488" max="9727" width="8.85546875" style="2"/>
    <col min="9728" max="9728" width="26.42578125" style="2" bestFit="1" customWidth="1"/>
    <col min="9729" max="9729" width="37.7109375" style="2" customWidth="1"/>
    <col min="9730" max="9730" width="26.42578125" style="2" bestFit="1" customWidth="1"/>
    <col min="9731" max="9738" width="13.7109375" style="2" customWidth="1"/>
    <col min="9739" max="9739" width="8.85546875" style="2"/>
    <col min="9740" max="9740" width="13" style="2" customWidth="1"/>
    <col min="9741" max="9741" width="12.42578125" style="2" customWidth="1"/>
    <col min="9742" max="9742" width="11.7109375" style="2" customWidth="1"/>
    <col min="9743" max="9743" width="11.140625" style="2" customWidth="1"/>
    <col min="9744" max="9983" width="8.85546875" style="2"/>
    <col min="9984" max="9984" width="26.42578125" style="2" bestFit="1" customWidth="1"/>
    <col min="9985" max="9985" width="37.7109375" style="2" customWidth="1"/>
    <col min="9986" max="9986" width="26.42578125" style="2" bestFit="1" customWidth="1"/>
    <col min="9987" max="9994" width="13.7109375" style="2" customWidth="1"/>
    <col min="9995" max="9995" width="8.85546875" style="2"/>
    <col min="9996" max="9996" width="13" style="2" customWidth="1"/>
    <col min="9997" max="9997" width="12.42578125" style="2" customWidth="1"/>
    <col min="9998" max="9998" width="11.7109375" style="2" customWidth="1"/>
    <col min="9999" max="9999" width="11.140625" style="2" customWidth="1"/>
    <col min="10000" max="10239" width="8.85546875" style="2"/>
    <col min="10240" max="10240" width="26.42578125" style="2" bestFit="1" customWidth="1"/>
    <col min="10241" max="10241" width="37.7109375" style="2" customWidth="1"/>
    <col min="10242" max="10242" width="26.42578125" style="2" bestFit="1" customWidth="1"/>
    <col min="10243" max="10250" width="13.7109375" style="2" customWidth="1"/>
    <col min="10251" max="10251" width="8.85546875" style="2"/>
    <col min="10252" max="10252" width="13" style="2" customWidth="1"/>
    <col min="10253" max="10253" width="12.42578125" style="2" customWidth="1"/>
    <col min="10254" max="10254" width="11.7109375" style="2" customWidth="1"/>
    <col min="10255" max="10255" width="11.140625" style="2" customWidth="1"/>
    <col min="10256" max="10495" width="8.85546875" style="2"/>
    <col min="10496" max="10496" width="26.42578125" style="2" bestFit="1" customWidth="1"/>
    <col min="10497" max="10497" width="37.7109375" style="2" customWidth="1"/>
    <col min="10498" max="10498" width="26.42578125" style="2" bestFit="1" customWidth="1"/>
    <col min="10499" max="10506" width="13.7109375" style="2" customWidth="1"/>
    <col min="10507" max="10507" width="8.85546875" style="2"/>
    <col min="10508" max="10508" width="13" style="2" customWidth="1"/>
    <col min="10509" max="10509" width="12.42578125" style="2" customWidth="1"/>
    <col min="10510" max="10510" width="11.7109375" style="2" customWidth="1"/>
    <col min="10511" max="10511" width="11.140625" style="2" customWidth="1"/>
    <col min="10512" max="10751" width="8.85546875" style="2"/>
    <col min="10752" max="10752" width="26.42578125" style="2" bestFit="1" customWidth="1"/>
    <col min="10753" max="10753" width="37.7109375" style="2" customWidth="1"/>
    <col min="10754" max="10754" width="26.42578125" style="2" bestFit="1" customWidth="1"/>
    <col min="10755" max="10762" width="13.7109375" style="2" customWidth="1"/>
    <col min="10763" max="10763" width="8.85546875" style="2"/>
    <col min="10764" max="10764" width="13" style="2" customWidth="1"/>
    <col min="10765" max="10765" width="12.42578125" style="2" customWidth="1"/>
    <col min="10766" max="10766" width="11.7109375" style="2" customWidth="1"/>
    <col min="10767" max="10767" width="11.140625" style="2" customWidth="1"/>
    <col min="10768" max="11007" width="8.85546875" style="2"/>
    <col min="11008" max="11008" width="26.42578125" style="2" bestFit="1" customWidth="1"/>
    <col min="11009" max="11009" width="37.7109375" style="2" customWidth="1"/>
    <col min="11010" max="11010" width="26.42578125" style="2" bestFit="1" customWidth="1"/>
    <col min="11011" max="11018" width="13.7109375" style="2" customWidth="1"/>
    <col min="11019" max="11019" width="8.85546875" style="2"/>
    <col min="11020" max="11020" width="13" style="2" customWidth="1"/>
    <col min="11021" max="11021" width="12.42578125" style="2" customWidth="1"/>
    <col min="11022" max="11022" width="11.7109375" style="2" customWidth="1"/>
    <col min="11023" max="11023" width="11.140625" style="2" customWidth="1"/>
    <col min="11024" max="11263" width="8.85546875" style="2"/>
    <col min="11264" max="11264" width="26.42578125" style="2" bestFit="1" customWidth="1"/>
    <col min="11265" max="11265" width="37.7109375" style="2" customWidth="1"/>
    <col min="11266" max="11266" width="26.42578125" style="2" bestFit="1" customWidth="1"/>
    <col min="11267" max="11274" width="13.7109375" style="2" customWidth="1"/>
    <col min="11275" max="11275" width="8.85546875" style="2"/>
    <col min="11276" max="11276" width="13" style="2" customWidth="1"/>
    <col min="11277" max="11277" width="12.42578125" style="2" customWidth="1"/>
    <col min="11278" max="11278" width="11.7109375" style="2" customWidth="1"/>
    <col min="11279" max="11279" width="11.140625" style="2" customWidth="1"/>
    <col min="11280" max="11519" width="8.85546875" style="2"/>
    <col min="11520" max="11520" width="26.42578125" style="2" bestFit="1" customWidth="1"/>
    <col min="11521" max="11521" width="37.7109375" style="2" customWidth="1"/>
    <col min="11522" max="11522" width="26.42578125" style="2" bestFit="1" customWidth="1"/>
    <col min="11523" max="11530" width="13.7109375" style="2" customWidth="1"/>
    <col min="11531" max="11531" width="8.85546875" style="2"/>
    <col min="11532" max="11532" width="13" style="2" customWidth="1"/>
    <col min="11533" max="11533" width="12.42578125" style="2" customWidth="1"/>
    <col min="11534" max="11534" width="11.7109375" style="2" customWidth="1"/>
    <col min="11535" max="11535" width="11.140625" style="2" customWidth="1"/>
    <col min="11536" max="11775" width="8.85546875" style="2"/>
    <col min="11776" max="11776" width="26.42578125" style="2" bestFit="1" customWidth="1"/>
    <col min="11777" max="11777" width="37.7109375" style="2" customWidth="1"/>
    <col min="11778" max="11778" width="26.42578125" style="2" bestFit="1" customWidth="1"/>
    <col min="11779" max="11786" width="13.7109375" style="2" customWidth="1"/>
    <col min="11787" max="11787" width="8.85546875" style="2"/>
    <col min="11788" max="11788" width="13" style="2" customWidth="1"/>
    <col min="11789" max="11789" width="12.42578125" style="2" customWidth="1"/>
    <col min="11790" max="11790" width="11.7109375" style="2" customWidth="1"/>
    <col min="11791" max="11791" width="11.140625" style="2" customWidth="1"/>
    <col min="11792" max="12031" width="8.85546875" style="2"/>
    <col min="12032" max="12032" width="26.42578125" style="2" bestFit="1" customWidth="1"/>
    <col min="12033" max="12033" width="37.7109375" style="2" customWidth="1"/>
    <col min="12034" max="12034" width="26.42578125" style="2" bestFit="1" customWidth="1"/>
    <col min="12035" max="12042" width="13.7109375" style="2" customWidth="1"/>
    <col min="12043" max="12043" width="8.85546875" style="2"/>
    <col min="12044" max="12044" width="13" style="2" customWidth="1"/>
    <col min="12045" max="12045" width="12.42578125" style="2" customWidth="1"/>
    <col min="12046" max="12046" width="11.7109375" style="2" customWidth="1"/>
    <col min="12047" max="12047" width="11.140625" style="2" customWidth="1"/>
    <col min="12048" max="12287" width="8.85546875" style="2"/>
    <col min="12288" max="12288" width="26.42578125" style="2" bestFit="1" customWidth="1"/>
    <col min="12289" max="12289" width="37.7109375" style="2" customWidth="1"/>
    <col min="12290" max="12290" width="26.42578125" style="2" bestFit="1" customWidth="1"/>
    <col min="12291" max="12298" width="13.7109375" style="2" customWidth="1"/>
    <col min="12299" max="12299" width="8.85546875" style="2"/>
    <col min="12300" max="12300" width="13" style="2" customWidth="1"/>
    <col min="12301" max="12301" width="12.42578125" style="2" customWidth="1"/>
    <col min="12302" max="12302" width="11.7109375" style="2" customWidth="1"/>
    <col min="12303" max="12303" width="11.140625" style="2" customWidth="1"/>
    <col min="12304" max="12543" width="8.85546875" style="2"/>
    <col min="12544" max="12544" width="26.42578125" style="2" bestFit="1" customWidth="1"/>
    <col min="12545" max="12545" width="37.7109375" style="2" customWidth="1"/>
    <col min="12546" max="12546" width="26.42578125" style="2" bestFit="1" customWidth="1"/>
    <col min="12547" max="12554" width="13.7109375" style="2" customWidth="1"/>
    <col min="12555" max="12555" width="8.85546875" style="2"/>
    <col min="12556" max="12556" width="13" style="2" customWidth="1"/>
    <col min="12557" max="12557" width="12.42578125" style="2" customWidth="1"/>
    <col min="12558" max="12558" width="11.7109375" style="2" customWidth="1"/>
    <col min="12559" max="12559" width="11.140625" style="2" customWidth="1"/>
    <col min="12560" max="12799" width="8.85546875" style="2"/>
    <col min="12800" max="12800" width="26.42578125" style="2" bestFit="1" customWidth="1"/>
    <col min="12801" max="12801" width="37.7109375" style="2" customWidth="1"/>
    <col min="12802" max="12802" width="26.42578125" style="2" bestFit="1" customWidth="1"/>
    <col min="12803" max="12810" width="13.7109375" style="2" customWidth="1"/>
    <col min="12811" max="12811" width="8.85546875" style="2"/>
    <col min="12812" max="12812" width="13" style="2" customWidth="1"/>
    <col min="12813" max="12813" width="12.42578125" style="2" customWidth="1"/>
    <col min="12814" max="12814" width="11.7109375" style="2" customWidth="1"/>
    <col min="12815" max="12815" width="11.140625" style="2" customWidth="1"/>
    <col min="12816" max="13055" width="8.85546875" style="2"/>
    <col min="13056" max="13056" width="26.42578125" style="2" bestFit="1" customWidth="1"/>
    <col min="13057" max="13057" width="37.7109375" style="2" customWidth="1"/>
    <col min="13058" max="13058" width="26.42578125" style="2" bestFit="1" customWidth="1"/>
    <col min="13059" max="13066" width="13.7109375" style="2" customWidth="1"/>
    <col min="13067" max="13067" width="8.85546875" style="2"/>
    <col min="13068" max="13068" width="13" style="2" customWidth="1"/>
    <col min="13069" max="13069" width="12.42578125" style="2" customWidth="1"/>
    <col min="13070" max="13070" width="11.7109375" style="2" customWidth="1"/>
    <col min="13071" max="13071" width="11.140625" style="2" customWidth="1"/>
    <col min="13072" max="13311" width="8.85546875" style="2"/>
    <col min="13312" max="13312" width="26.42578125" style="2" bestFit="1" customWidth="1"/>
    <col min="13313" max="13313" width="37.7109375" style="2" customWidth="1"/>
    <col min="13314" max="13314" width="26.42578125" style="2" bestFit="1" customWidth="1"/>
    <col min="13315" max="13322" width="13.7109375" style="2" customWidth="1"/>
    <col min="13323" max="13323" width="8.85546875" style="2"/>
    <col min="13324" max="13324" width="13" style="2" customWidth="1"/>
    <col min="13325" max="13325" width="12.42578125" style="2" customWidth="1"/>
    <col min="13326" max="13326" width="11.7109375" style="2" customWidth="1"/>
    <col min="13327" max="13327" width="11.140625" style="2" customWidth="1"/>
    <col min="13328" max="13567" width="8.85546875" style="2"/>
    <col min="13568" max="13568" width="26.42578125" style="2" bestFit="1" customWidth="1"/>
    <col min="13569" max="13569" width="37.7109375" style="2" customWidth="1"/>
    <col min="13570" max="13570" width="26.42578125" style="2" bestFit="1" customWidth="1"/>
    <col min="13571" max="13578" width="13.7109375" style="2" customWidth="1"/>
    <col min="13579" max="13579" width="8.85546875" style="2"/>
    <col min="13580" max="13580" width="13" style="2" customWidth="1"/>
    <col min="13581" max="13581" width="12.42578125" style="2" customWidth="1"/>
    <col min="13582" max="13582" width="11.7109375" style="2" customWidth="1"/>
    <col min="13583" max="13583" width="11.140625" style="2" customWidth="1"/>
    <col min="13584" max="13823" width="8.85546875" style="2"/>
    <col min="13824" max="13824" width="26.42578125" style="2" bestFit="1" customWidth="1"/>
    <col min="13825" max="13825" width="37.7109375" style="2" customWidth="1"/>
    <col min="13826" max="13826" width="26.42578125" style="2" bestFit="1" customWidth="1"/>
    <col min="13827" max="13834" width="13.7109375" style="2" customWidth="1"/>
    <col min="13835" max="13835" width="8.85546875" style="2"/>
    <col min="13836" max="13836" width="13" style="2" customWidth="1"/>
    <col min="13837" max="13837" width="12.42578125" style="2" customWidth="1"/>
    <col min="13838" max="13838" width="11.7109375" style="2" customWidth="1"/>
    <col min="13839" max="13839" width="11.140625" style="2" customWidth="1"/>
    <col min="13840" max="14079" width="8.85546875" style="2"/>
    <col min="14080" max="14080" width="26.42578125" style="2" bestFit="1" customWidth="1"/>
    <col min="14081" max="14081" width="37.7109375" style="2" customWidth="1"/>
    <col min="14082" max="14082" width="26.42578125" style="2" bestFit="1" customWidth="1"/>
    <col min="14083" max="14090" width="13.7109375" style="2" customWidth="1"/>
    <col min="14091" max="14091" width="8.85546875" style="2"/>
    <col min="14092" max="14092" width="13" style="2" customWidth="1"/>
    <col min="14093" max="14093" width="12.42578125" style="2" customWidth="1"/>
    <col min="14094" max="14094" width="11.7109375" style="2" customWidth="1"/>
    <col min="14095" max="14095" width="11.140625" style="2" customWidth="1"/>
    <col min="14096" max="14335" width="8.85546875" style="2"/>
    <col min="14336" max="14336" width="26.42578125" style="2" bestFit="1" customWidth="1"/>
    <col min="14337" max="14337" width="37.7109375" style="2" customWidth="1"/>
    <col min="14338" max="14338" width="26.42578125" style="2" bestFit="1" customWidth="1"/>
    <col min="14339" max="14346" width="13.7109375" style="2" customWidth="1"/>
    <col min="14347" max="14347" width="8.85546875" style="2"/>
    <col min="14348" max="14348" width="13" style="2" customWidth="1"/>
    <col min="14349" max="14349" width="12.42578125" style="2" customWidth="1"/>
    <col min="14350" max="14350" width="11.7109375" style="2" customWidth="1"/>
    <col min="14351" max="14351" width="11.140625" style="2" customWidth="1"/>
    <col min="14352" max="14591" width="8.85546875" style="2"/>
    <col min="14592" max="14592" width="26.42578125" style="2" bestFit="1" customWidth="1"/>
    <col min="14593" max="14593" width="37.7109375" style="2" customWidth="1"/>
    <col min="14594" max="14594" width="26.42578125" style="2" bestFit="1" customWidth="1"/>
    <col min="14595" max="14602" width="13.7109375" style="2" customWidth="1"/>
    <col min="14603" max="14603" width="8.85546875" style="2"/>
    <col min="14604" max="14604" width="13" style="2" customWidth="1"/>
    <col min="14605" max="14605" width="12.42578125" style="2" customWidth="1"/>
    <col min="14606" max="14606" width="11.7109375" style="2" customWidth="1"/>
    <col min="14607" max="14607" width="11.140625" style="2" customWidth="1"/>
    <col min="14608" max="14847" width="8.85546875" style="2"/>
    <col min="14848" max="14848" width="26.42578125" style="2" bestFit="1" customWidth="1"/>
    <col min="14849" max="14849" width="37.7109375" style="2" customWidth="1"/>
    <col min="14850" max="14850" width="26.42578125" style="2" bestFit="1" customWidth="1"/>
    <col min="14851" max="14858" width="13.7109375" style="2" customWidth="1"/>
    <col min="14859" max="14859" width="8.85546875" style="2"/>
    <col min="14860" max="14860" width="13" style="2" customWidth="1"/>
    <col min="14861" max="14861" width="12.42578125" style="2" customWidth="1"/>
    <col min="14862" max="14862" width="11.7109375" style="2" customWidth="1"/>
    <col min="14863" max="14863" width="11.140625" style="2" customWidth="1"/>
    <col min="14864" max="15103" width="8.85546875" style="2"/>
    <col min="15104" max="15104" width="26.42578125" style="2" bestFit="1" customWidth="1"/>
    <col min="15105" max="15105" width="37.7109375" style="2" customWidth="1"/>
    <col min="15106" max="15106" width="26.42578125" style="2" bestFit="1" customWidth="1"/>
    <col min="15107" max="15114" width="13.7109375" style="2" customWidth="1"/>
    <col min="15115" max="15115" width="8.85546875" style="2"/>
    <col min="15116" max="15116" width="13" style="2" customWidth="1"/>
    <col min="15117" max="15117" width="12.42578125" style="2" customWidth="1"/>
    <col min="15118" max="15118" width="11.7109375" style="2" customWidth="1"/>
    <col min="15119" max="15119" width="11.140625" style="2" customWidth="1"/>
    <col min="15120" max="15359" width="8.85546875" style="2"/>
    <col min="15360" max="15360" width="26.42578125" style="2" bestFit="1" customWidth="1"/>
    <col min="15361" max="15361" width="37.7109375" style="2" customWidth="1"/>
    <col min="15362" max="15362" width="26.42578125" style="2" bestFit="1" customWidth="1"/>
    <col min="15363" max="15370" width="13.7109375" style="2" customWidth="1"/>
    <col min="15371" max="15371" width="8.85546875" style="2"/>
    <col min="15372" max="15372" width="13" style="2" customWidth="1"/>
    <col min="15373" max="15373" width="12.42578125" style="2" customWidth="1"/>
    <col min="15374" max="15374" width="11.7109375" style="2" customWidth="1"/>
    <col min="15375" max="15375" width="11.140625" style="2" customWidth="1"/>
    <col min="15376" max="15615" width="8.85546875" style="2"/>
    <col min="15616" max="15616" width="26.42578125" style="2" bestFit="1" customWidth="1"/>
    <col min="15617" max="15617" width="37.7109375" style="2" customWidth="1"/>
    <col min="15618" max="15618" width="26.42578125" style="2" bestFit="1" customWidth="1"/>
    <col min="15619" max="15626" width="13.7109375" style="2" customWidth="1"/>
    <col min="15627" max="15627" width="8.85546875" style="2"/>
    <col min="15628" max="15628" width="13" style="2" customWidth="1"/>
    <col min="15629" max="15629" width="12.42578125" style="2" customWidth="1"/>
    <col min="15630" max="15630" width="11.7109375" style="2" customWidth="1"/>
    <col min="15631" max="15631" width="11.140625" style="2" customWidth="1"/>
    <col min="15632" max="15871" width="8.85546875" style="2"/>
    <col min="15872" max="15872" width="26.42578125" style="2" bestFit="1" customWidth="1"/>
    <col min="15873" max="15873" width="37.7109375" style="2" customWidth="1"/>
    <col min="15874" max="15874" width="26.42578125" style="2" bestFit="1" customWidth="1"/>
    <col min="15875" max="15882" width="13.7109375" style="2" customWidth="1"/>
    <col min="15883" max="15883" width="8.85546875" style="2"/>
    <col min="15884" max="15884" width="13" style="2" customWidth="1"/>
    <col min="15885" max="15885" width="12.42578125" style="2" customWidth="1"/>
    <col min="15886" max="15886" width="11.7109375" style="2" customWidth="1"/>
    <col min="15887" max="15887" width="11.140625" style="2" customWidth="1"/>
    <col min="15888" max="16127" width="8.85546875" style="2"/>
    <col min="16128" max="16128" width="26.42578125" style="2" bestFit="1" customWidth="1"/>
    <col min="16129" max="16129" width="37.7109375" style="2" customWidth="1"/>
    <col min="16130" max="16130" width="26.42578125" style="2" bestFit="1" customWidth="1"/>
    <col min="16131" max="16138" width="13.7109375" style="2" customWidth="1"/>
    <col min="16139" max="16139" width="8.85546875" style="2"/>
    <col min="16140" max="16140" width="13" style="2" customWidth="1"/>
    <col min="16141" max="16141" width="12.42578125" style="2" customWidth="1"/>
    <col min="16142" max="16142" width="11.7109375" style="2" customWidth="1"/>
    <col min="16143" max="16143" width="11.140625" style="2" customWidth="1"/>
    <col min="16144" max="16384" width="8.85546875" style="2"/>
  </cols>
  <sheetData>
    <row r="2" spans="2:10">
      <c r="B2" s="15" t="s">
        <v>32</v>
      </c>
      <c r="C2" s="15"/>
      <c r="D2" s="15"/>
      <c r="E2" s="15"/>
      <c r="F2" s="15"/>
    </row>
    <row r="4" spans="2:10">
      <c r="B4" s="15" t="s">
        <v>264</v>
      </c>
      <c r="C4" s="15"/>
      <c r="D4" s="15"/>
      <c r="E4" s="15"/>
    </row>
    <row r="5" spans="2:10">
      <c r="B5" s="8"/>
      <c r="C5" s="12">
        <v>2017</v>
      </c>
      <c r="D5" s="12">
        <v>2018</v>
      </c>
      <c r="E5" s="12">
        <v>2019</v>
      </c>
      <c r="F5" s="12">
        <v>2020</v>
      </c>
      <c r="G5" s="12">
        <v>2021</v>
      </c>
      <c r="H5" s="12">
        <v>2022</v>
      </c>
      <c r="I5" s="12">
        <v>2023</v>
      </c>
      <c r="J5" s="12">
        <v>2024</v>
      </c>
    </row>
    <row r="6" spans="2:10">
      <c r="B6" s="12" t="s">
        <v>261</v>
      </c>
      <c r="C6" s="27">
        <v>756184333</v>
      </c>
      <c r="D6" s="27">
        <v>760841619</v>
      </c>
      <c r="E6" s="27">
        <v>778606653</v>
      </c>
      <c r="F6" s="27">
        <v>764917368</v>
      </c>
      <c r="G6" s="27">
        <v>760242105</v>
      </c>
      <c r="H6" s="27">
        <v>781270596</v>
      </c>
      <c r="I6" s="27">
        <v>807591530</v>
      </c>
      <c r="J6" s="27">
        <v>816880219</v>
      </c>
    </row>
    <row r="8" spans="2:10">
      <c r="B8" s="15" t="s">
        <v>262</v>
      </c>
      <c r="C8" s="15"/>
      <c r="D8" s="15"/>
      <c r="E8" s="15"/>
    </row>
    <row r="9" spans="2:10">
      <c r="B9" s="8"/>
      <c r="C9" s="12">
        <v>2017</v>
      </c>
      <c r="D9" s="12">
        <v>2018</v>
      </c>
      <c r="E9" s="12">
        <v>2019</v>
      </c>
      <c r="F9" s="12">
        <v>2020</v>
      </c>
      <c r="G9" s="12">
        <v>2021</v>
      </c>
      <c r="H9" s="12">
        <v>2022</v>
      </c>
      <c r="I9" s="12">
        <v>2023</v>
      </c>
      <c r="J9" s="12">
        <v>2024</v>
      </c>
    </row>
    <row r="10" spans="2:10">
      <c r="B10" s="12" t="s">
        <v>261</v>
      </c>
      <c r="C10" s="27">
        <v>494851646</v>
      </c>
      <c r="D10" s="27">
        <v>492349965</v>
      </c>
      <c r="E10" s="27">
        <v>509873761</v>
      </c>
      <c r="F10" s="27">
        <v>501095943</v>
      </c>
      <c r="G10" s="194">
        <v>491023486.66666663</v>
      </c>
      <c r="H10" s="27">
        <v>509834370</v>
      </c>
      <c r="I10" s="27">
        <v>526505707</v>
      </c>
      <c r="J10" s="27">
        <v>534936475</v>
      </c>
    </row>
    <row r="12" spans="2:10">
      <c r="B12" s="15" t="s">
        <v>33</v>
      </c>
      <c r="C12" s="15"/>
      <c r="D12" s="15"/>
      <c r="E12" s="15"/>
    </row>
    <row r="13" spans="2:10">
      <c r="B13" s="8"/>
      <c r="C13" s="12">
        <v>2017</v>
      </c>
      <c r="D13" s="12">
        <v>2018</v>
      </c>
      <c r="E13" s="12">
        <v>2019</v>
      </c>
      <c r="F13" s="12">
        <v>2020</v>
      </c>
      <c r="G13" s="12">
        <v>2021</v>
      </c>
      <c r="H13" s="12">
        <v>2022</v>
      </c>
      <c r="I13" s="12">
        <v>2023</v>
      </c>
      <c r="J13" s="12">
        <v>2024</v>
      </c>
    </row>
    <row r="14" spans="2:10">
      <c r="B14" s="12" t="s">
        <v>261</v>
      </c>
      <c r="C14" s="27">
        <v>3087156</v>
      </c>
      <c r="D14" s="27">
        <v>3137756</v>
      </c>
      <c r="E14" s="27">
        <v>3194532</v>
      </c>
      <c r="F14" s="27">
        <v>3273807</v>
      </c>
      <c r="G14" s="194">
        <v>3349176.1979138269</v>
      </c>
      <c r="H14" s="27">
        <v>3399410</v>
      </c>
      <c r="I14" s="27">
        <v>3454727</v>
      </c>
      <c r="J14" s="27">
        <v>3509988</v>
      </c>
    </row>
    <row r="15" spans="2:10">
      <c r="G15" s="26"/>
      <c r="H15" s="26"/>
      <c r="I15" s="26"/>
      <c r="J15" s="26"/>
    </row>
    <row r="16" spans="2:10">
      <c r="B16" s="15" t="s">
        <v>263</v>
      </c>
      <c r="C16" s="15"/>
      <c r="D16" s="15"/>
      <c r="E16" s="15"/>
    </row>
    <row r="17" spans="2:16">
      <c r="B17" s="8"/>
      <c r="C17" s="12">
        <v>2017</v>
      </c>
      <c r="D17" s="12">
        <v>2018</v>
      </c>
      <c r="E17" s="12">
        <v>2019</v>
      </c>
      <c r="F17" s="12">
        <v>2020</v>
      </c>
      <c r="G17" s="12">
        <v>2021</v>
      </c>
      <c r="H17" s="12">
        <v>2022</v>
      </c>
      <c r="I17" s="12">
        <v>2023</v>
      </c>
      <c r="J17" s="12">
        <v>2024</v>
      </c>
    </row>
    <row r="18" spans="2:16">
      <c r="B18" s="12" t="s">
        <v>261</v>
      </c>
      <c r="C18" s="27">
        <v>355329189</v>
      </c>
      <c r="D18" s="27">
        <v>362380051</v>
      </c>
      <c r="E18" s="27">
        <v>382115054</v>
      </c>
      <c r="F18" s="27">
        <v>377326945</v>
      </c>
      <c r="G18" s="194">
        <v>372401582.66666669</v>
      </c>
      <c r="H18" s="27">
        <v>394878331</v>
      </c>
      <c r="I18" s="27">
        <v>412703751</v>
      </c>
      <c r="J18" s="27">
        <v>427421999</v>
      </c>
    </row>
    <row r="19" spans="2:16">
      <c r="G19" s="22"/>
      <c r="H19" s="22"/>
      <c r="I19" s="22"/>
      <c r="J19" s="22"/>
      <c r="L19" s="22"/>
      <c r="M19" s="22"/>
      <c r="N19" s="22"/>
      <c r="O19" s="22"/>
      <c r="P19" s="22"/>
    </row>
    <row r="20" spans="2:16">
      <c r="B20" s="15" t="s">
        <v>265</v>
      </c>
      <c r="C20" s="15"/>
      <c r="D20" s="15"/>
      <c r="E20" s="15"/>
      <c r="G20" s="22"/>
      <c r="H20" s="22"/>
      <c r="I20" s="22"/>
      <c r="J20" s="22"/>
      <c r="L20" s="22"/>
      <c r="M20" s="22"/>
      <c r="N20" s="22"/>
      <c r="O20" s="22"/>
      <c r="P20" s="22"/>
    </row>
    <row r="21" spans="2:16">
      <c r="B21" s="8"/>
      <c r="C21" s="12">
        <v>2017</v>
      </c>
      <c r="D21" s="12">
        <v>2018</v>
      </c>
      <c r="E21" s="12">
        <v>2019</v>
      </c>
      <c r="F21" s="12">
        <v>2020</v>
      </c>
      <c r="G21" s="12">
        <v>2021</v>
      </c>
      <c r="H21" s="12">
        <v>2022</v>
      </c>
      <c r="I21" s="12">
        <v>2023</v>
      </c>
      <c r="J21" s="12">
        <v>2024</v>
      </c>
    </row>
    <row r="22" spans="2:16">
      <c r="B22" s="12" t="s">
        <v>261</v>
      </c>
      <c r="C22" s="27">
        <v>355312711</v>
      </c>
      <c r="D22" s="27">
        <v>362380051</v>
      </c>
      <c r="E22" s="27">
        <v>382115054</v>
      </c>
      <c r="F22" s="27">
        <v>377326945</v>
      </c>
      <c r="G22" s="194">
        <v>372401582.66666669</v>
      </c>
      <c r="H22" s="27">
        <v>394878331</v>
      </c>
      <c r="I22" s="27">
        <v>412703751</v>
      </c>
      <c r="J22" s="27">
        <v>427421999</v>
      </c>
    </row>
    <row r="23" spans="2:16">
      <c r="H23" s="11"/>
      <c r="I23" s="11"/>
      <c r="J23" s="11"/>
    </row>
    <row r="24" spans="2:16">
      <c r="B24" s="15" t="s">
        <v>34</v>
      </c>
      <c r="C24" s="15"/>
      <c r="D24" s="15"/>
      <c r="E24" s="15"/>
    </row>
    <row r="25" spans="2:16">
      <c r="B25" s="8"/>
      <c r="C25" s="12">
        <v>2017</v>
      </c>
      <c r="D25" s="12">
        <v>2018</v>
      </c>
      <c r="E25" s="12">
        <v>2019</v>
      </c>
      <c r="F25" s="12">
        <v>2020</v>
      </c>
      <c r="G25" s="12">
        <v>2021</v>
      </c>
      <c r="H25" s="12">
        <v>2022</v>
      </c>
      <c r="I25" s="12">
        <v>2023</v>
      </c>
      <c r="J25" s="12">
        <v>2024</v>
      </c>
    </row>
    <row r="26" spans="2:16">
      <c r="B26" s="12" t="s">
        <v>261</v>
      </c>
      <c r="C26" s="27">
        <v>2040292</v>
      </c>
      <c r="D26" s="27">
        <v>2141050</v>
      </c>
      <c r="E26" s="27">
        <v>2231127</v>
      </c>
      <c r="F26" s="27">
        <v>2308138</v>
      </c>
      <c r="G26" s="194">
        <v>2379428.2279534414</v>
      </c>
      <c r="H26" s="27">
        <v>2446013</v>
      </c>
      <c r="I26" s="27">
        <v>2546225</v>
      </c>
      <c r="J26" s="27">
        <v>2645902</v>
      </c>
    </row>
    <row r="28" spans="2:16">
      <c r="B28" s="15" t="s">
        <v>35</v>
      </c>
      <c r="C28" s="15"/>
      <c r="D28" s="15"/>
      <c r="E28" s="15"/>
    </row>
    <row r="29" spans="2:16">
      <c r="B29" s="8"/>
      <c r="C29" s="12">
        <v>2017</v>
      </c>
      <c r="D29" s="12">
        <v>2018</v>
      </c>
      <c r="E29" s="12">
        <v>2019</v>
      </c>
      <c r="F29" s="12">
        <v>2020</v>
      </c>
      <c r="G29" s="12">
        <v>2021</v>
      </c>
      <c r="H29" s="12">
        <v>2022</v>
      </c>
      <c r="I29" s="12">
        <v>2023</v>
      </c>
      <c r="J29" s="12">
        <v>2024</v>
      </c>
    </row>
    <row r="30" spans="2:16">
      <c r="B30" s="12" t="s">
        <v>261</v>
      </c>
      <c r="C30" s="27">
        <v>1</v>
      </c>
      <c r="D30" s="27">
        <v>1</v>
      </c>
      <c r="E30" s="27">
        <v>1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7"/>
  <dimension ref="C2:AM117"/>
  <sheetViews>
    <sheetView showGridLines="0" zoomScale="80" zoomScaleNormal="80" workbookViewId="0">
      <pane xSplit="5" ySplit="4" topLeftCell="F17" activePane="bottomRight" state="frozen"/>
      <selection activeCell="B28" sqref="B28"/>
      <selection pane="topRight" activeCell="B28" sqref="B28"/>
      <selection pane="bottomLeft" activeCell="B28" sqref="B28"/>
      <selection pane="bottomRight" activeCell="AE43" sqref="AE43"/>
    </sheetView>
  </sheetViews>
  <sheetFormatPr defaultColWidth="9.140625" defaultRowHeight="15" customHeight="1"/>
  <cols>
    <col min="1" max="2" width="9.140625" style="2"/>
    <col min="3" max="3" width="26.7109375" style="2" bestFit="1" customWidth="1"/>
    <col min="4" max="4" width="18.28515625" style="2" bestFit="1" customWidth="1"/>
    <col min="5" max="5" width="26.42578125" style="2" bestFit="1" customWidth="1"/>
    <col min="6" max="6" width="11.5703125" style="2" customWidth="1"/>
    <col min="7" max="12" width="14.28515625" style="2" customWidth="1"/>
    <col min="13" max="13" width="9.5703125" style="2" customWidth="1"/>
    <col min="14" max="14" width="15.28515625" style="2" customWidth="1"/>
    <col min="15" max="18" width="14.28515625" style="2" customWidth="1"/>
    <col min="19" max="19" width="17" style="2" customWidth="1"/>
    <col min="20" max="20" width="9.42578125" style="2" customWidth="1"/>
    <col min="21" max="21" width="15.28515625" style="2" customWidth="1"/>
    <col min="22" max="25" width="14.28515625" style="2" customWidth="1"/>
    <col min="26" max="26" width="17" style="2" customWidth="1"/>
    <col min="27" max="27" width="10" style="2" customWidth="1"/>
    <col min="28" max="28" width="18" style="2" customWidth="1"/>
    <col min="29" max="34" width="16.140625" style="2" bestFit="1" customWidth="1"/>
    <col min="35" max="36" width="9.140625" style="2"/>
    <col min="37" max="37" width="14.140625" style="2" bestFit="1" customWidth="1"/>
    <col min="38" max="38" width="11.85546875" style="2" bestFit="1" customWidth="1"/>
    <col min="39" max="39" width="12.85546875" style="2" bestFit="1" customWidth="1"/>
    <col min="40" max="261" width="9.140625" style="2"/>
    <col min="262" max="262" width="26.7109375" style="2" bestFit="1" customWidth="1"/>
    <col min="263" max="263" width="13.7109375" style="2" bestFit="1" customWidth="1"/>
    <col min="264" max="264" width="26.42578125" style="2" bestFit="1" customWidth="1"/>
    <col min="265" max="265" width="11.5703125" style="2" customWidth="1"/>
    <col min="266" max="270" width="14.28515625" style="2" customWidth="1"/>
    <col min="271" max="271" width="9.5703125" style="2" customWidth="1"/>
    <col min="272" max="272" width="15.28515625" style="2" customWidth="1"/>
    <col min="273" max="276" width="14.28515625" style="2" customWidth="1"/>
    <col min="277" max="277" width="9.140625" style="2"/>
    <col min="278" max="280" width="14.28515625" style="2" bestFit="1" customWidth="1"/>
    <col min="281" max="281" width="14.28515625" style="2" customWidth="1"/>
    <col min="282" max="282" width="9.140625" style="2"/>
    <col min="283" max="285" width="15.28515625" style="2" bestFit="1" customWidth="1"/>
    <col min="286" max="286" width="16.42578125" style="2" bestFit="1" customWidth="1"/>
    <col min="287" max="287" width="15.28515625" style="2" customWidth="1"/>
    <col min="288" max="288" width="9.140625" style="2"/>
    <col min="289" max="289" width="20.28515625" style="2" customWidth="1"/>
    <col min="290" max="292" width="9.140625" style="2"/>
    <col min="293" max="293" width="14.140625" style="2" bestFit="1" customWidth="1"/>
    <col min="294" max="294" width="11.85546875" style="2" bestFit="1" customWidth="1"/>
    <col min="295" max="295" width="12.85546875" style="2" bestFit="1" customWidth="1"/>
    <col min="296" max="517" width="9.140625" style="2"/>
    <col min="518" max="518" width="26.7109375" style="2" bestFit="1" customWidth="1"/>
    <col min="519" max="519" width="13.7109375" style="2" bestFit="1" customWidth="1"/>
    <col min="520" max="520" width="26.42578125" style="2" bestFit="1" customWidth="1"/>
    <col min="521" max="521" width="11.5703125" style="2" customWidth="1"/>
    <col min="522" max="526" width="14.28515625" style="2" customWidth="1"/>
    <col min="527" max="527" width="9.5703125" style="2" customWidth="1"/>
    <col min="528" max="528" width="15.28515625" style="2" customWidth="1"/>
    <col min="529" max="532" width="14.28515625" style="2" customWidth="1"/>
    <col min="533" max="533" width="9.140625" style="2"/>
    <col min="534" max="536" width="14.28515625" style="2" bestFit="1" customWidth="1"/>
    <col min="537" max="537" width="14.28515625" style="2" customWidth="1"/>
    <col min="538" max="538" width="9.140625" style="2"/>
    <col min="539" max="541" width="15.28515625" style="2" bestFit="1" customWidth="1"/>
    <col min="542" max="542" width="16.42578125" style="2" bestFit="1" customWidth="1"/>
    <col min="543" max="543" width="15.28515625" style="2" customWidth="1"/>
    <col min="544" max="544" width="9.140625" style="2"/>
    <col min="545" max="545" width="20.28515625" style="2" customWidth="1"/>
    <col min="546" max="548" width="9.140625" style="2"/>
    <col min="549" max="549" width="14.140625" style="2" bestFit="1" customWidth="1"/>
    <col min="550" max="550" width="11.85546875" style="2" bestFit="1" customWidth="1"/>
    <col min="551" max="551" width="12.85546875" style="2" bestFit="1" customWidth="1"/>
    <col min="552" max="773" width="9.140625" style="2"/>
    <col min="774" max="774" width="26.7109375" style="2" bestFit="1" customWidth="1"/>
    <col min="775" max="775" width="13.7109375" style="2" bestFit="1" customWidth="1"/>
    <col min="776" max="776" width="26.42578125" style="2" bestFit="1" customWidth="1"/>
    <col min="777" max="777" width="11.5703125" style="2" customWidth="1"/>
    <col min="778" max="782" width="14.28515625" style="2" customWidth="1"/>
    <col min="783" max="783" width="9.5703125" style="2" customWidth="1"/>
    <col min="784" max="784" width="15.28515625" style="2" customWidth="1"/>
    <col min="785" max="788" width="14.28515625" style="2" customWidth="1"/>
    <col min="789" max="789" width="9.140625" style="2"/>
    <col min="790" max="792" width="14.28515625" style="2" bestFit="1" customWidth="1"/>
    <col min="793" max="793" width="14.28515625" style="2" customWidth="1"/>
    <col min="794" max="794" width="9.140625" style="2"/>
    <col min="795" max="797" width="15.28515625" style="2" bestFit="1" customWidth="1"/>
    <col min="798" max="798" width="16.42578125" style="2" bestFit="1" customWidth="1"/>
    <col min="799" max="799" width="15.28515625" style="2" customWidth="1"/>
    <col min="800" max="800" width="9.140625" style="2"/>
    <col min="801" max="801" width="20.28515625" style="2" customWidth="1"/>
    <col min="802" max="804" width="9.140625" style="2"/>
    <col min="805" max="805" width="14.140625" style="2" bestFit="1" customWidth="1"/>
    <col min="806" max="806" width="11.85546875" style="2" bestFit="1" customWidth="1"/>
    <col min="807" max="807" width="12.85546875" style="2" bestFit="1" customWidth="1"/>
    <col min="808" max="1029" width="9.140625" style="2"/>
    <col min="1030" max="1030" width="26.7109375" style="2" bestFit="1" customWidth="1"/>
    <col min="1031" max="1031" width="13.7109375" style="2" bestFit="1" customWidth="1"/>
    <col min="1032" max="1032" width="26.42578125" style="2" bestFit="1" customWidth="1"/>
    <col min="1033" max="1033" width="11.5703125" style="2" customWidth="1"/>
    <col min="1034" max="1038" width="14.28515625" style="2" customWidth="1"/>
    <col min="1039" max="1039" width="9.5703125" style="2" customWidth="1"/>
    <col min="1040" max="1040" width="15.28515625" style="2" customWidth="1"/>
    <col min="1041" max="1044" width="14.28515625" style="2" customWidth="1"/>
    <col min="1045" max="1045" width="9.140625" style="2"/>
    <col min="1046" max="1048" width="14.28515625" style="2" bestFit="1" customWidth="1"/>
    <col min="1049" max="1049" width="14.28515625" style="2" customWidth="1"/>
    <col min="1050" max="1050" width="9.140625" style="2"/>
    <col min="1051" max="1053" width="15.28515625" style="2" bestFit="1" customWidth="1"/>
    <col min="1054" max="1054" width="16.42578125" style="2" bestFit="1" customWidth="1"/>
    <col min="1055" max="1055" width="15.28515625" style="2" customWidth="1"/>
    <col min="1056" max="1056" width="9.140625" style="2"/>
    <col min="1057" max="1057" width="20.28515625" style="2" customWidth="1"/>
    <col min="1058" max="1060" width="9.140625" style="2"/>
    <col min="1061" max="1061" width="14.140625" style="2" bestFit="1" customWidth="1"/>
    <col min="1062" max="1062" width="11.85546875" style="2" bestFit="1" customWidth="1"/>
    <col min="1063" max="1063" width="12.85546875" style="2" bestFit="1" customWidth="1"/>
    <col min="1064" max="1285" width="9.140625" style="2"/>
    <col min="1286" max="1286" width="26.7109375" style="2" bestFit="1" customWidth="1"/>
    <col min="1287" max="1287" width="13.7109375" style="2" bestFit="1" customWidth="1"/>
    <col min="1288" max="1288" width="26.42578125" style="2" bestFit="1" customWidth="1"/>
    <col min="1289" max="1289" width="11.5703125" style="2" customWidth="1"/>
    <col min="1290" max="1294" width="14.28515625" style="2" customWidth="1"/>
    <col min="1295" max="1295" width="9.5703125" style="2" customWidth="1"/>
    <col min="1296" max="1296" width="15.28515625" style="2" customWidth="1"/>
    <col min="1297" max="1300" width="14.28515625" style="2" customWidth="1"/>
    <col min="1301" max="1301" width="9.140625" style="2"/>
    <col min="1302" max="1304" width="14.28515625" style="2" bestFit="1" customWidth="1"/>
    <col min="1305" max="1305" width="14.28515625" style="2" customWidth="1"/>
    <col min="1306" max="1306" width="9.140625" style="2"/>
    <col min="1307" max="1309" width="15.28515625" style="2" bestFit="1" customWidth="1"/>
    <col min="1310" max="1310" width="16.42578125" style="2" bestFit="1" customWidth="1"/>
    <col min="1311" max="1311" width="15.28515625" style="2" customWidth="1"/>
    <col min="1312" max="1312" width="9.140625" style="2"/>
    <col min="1313" max="1313" width="20.28515625" style="2" customWidth="1"/>
    <col min="1314" max="1316" width="9.140625" style="2"/>
    <col min="1317" max="1317" width="14.140625" style="2" bestFit="1" customWidth="1"/>
    <col min="1318" max="1318" width="11.85546875" style="2" bestFit="1" customWidth="1"/>
    <col min="1319" max="1319" width="12.85546875" style="2" bestFit="1" customWidth="1"/>
    <col min="1320" max="1541" width="9.140625" style="2"/>
    <col min="1542" max="1542" width="26.7109375" style="2" bestFit="1" customWidth="1"/>
    <col min="1543" max="1543" width="13.7109375" style="2" bestFit="1" customWidth="1"/>
    <col min="1544" max="1544" width="26.42578125" style="2" bestFit="1" customWidth="1"/>
    <col min="1545" max="1545" width="11.5703125" style="2" customWidth="1"/>
    <col min="1546" max="1550" width="14.28515625" style="2" customWidth="1"/>
    <col min="1551" max="1551" width="9.5703125" style="2" customWidth="1"/>
    <col min="1552" max="1552" width="15.28515625" style="2" customWidth="1"/>
    <col min="1553" max="1556" width="14.28515625" style="2" customWidth="1"/>
    <col min="1557" max="1557" width="9.140625" style="2"/>
    <col min="1558" max="1560" width="14.28515625" style="2" bestFit="1" customWidth="1"/>
    <col min="1561" max="1561" width="14.28515625" style="2" customWidth="1"/>
    <col min="1562" max="1562" width="9.140625" style="2"/>
    <col min="1563" max="1565" width="15.28515625" style="2" bestFit="1" customWidth="1"/>
    <col min="1566" max="1566" width="16.42578125" style="2" bestFit="1" customWidth="1"/>
    <col min="1567" max="1567" width="15.28515625" style="2" customWidth="1"/>
    <col min="1568" max="1568" width="9.140625" style="2"/>
    <col min="1569" max="1569" width="20.28515625" style="2" customWidth="1"/>
    <col min="1570" max="1572" width="9.140625" style="2"/>
    <col min="1573" max="1573" width="14.140625" style="2" bestFit="1" customWidth="1"/>
    <col min="1574" max="1574" width="11.85546875" style="2" bestFit="1" customWidth="1"/>
    <col min="1575" max="1575" width="12.85546875" style="2" bestFit="1" customWidth="1"/>
    <col min="1576" max="1797" width="9.140625" style="2"/>
    <col min="1798" max="1798" width="26.7109375" style="2" bestFit="1" customWidth="1"/>
    <col min="1799" max="1799" width="13.7109375" style="2" bestFit="1" customWidth="1"/>
    <col min="1800" max="1800" width="26.42578125" style="2" bestFit="1" customWidth="1"/>
    <col min="1801" max="1801" width="11.5703125" style="2" customWidth="1"/>
    <col min="1802" max="1806" width="14.28515625" style="2" customWidth="1"/>
    <col min="1807" max="1807" width="9.5703125" style="2" customWidth="1"/>
    <col min="1808" max="1808" width="15.28515625" style="2" customWidth="1"/>
    <col min="1809" max="1812" width="14.28515625" style="2" customWidth="1"/>
    <col min="1813" max="1813" width="9.140625" style="2"/>
    <col min="1814" max="1816" width="14.28515625" style="2" bestFit="1" customWidth="1"/>
    <col min="1817" max="1817" width="14.28515625" style="2" customWidth="1"/>
    <col min="1818" max="1818" width="9.140625" style="2"/>
    <col min="1819" max="1821" width="15.28515625" style="2" bestFit="1" customWidth="1"/>
    <col min="1822" max="1822" width="16.42578125" style="2" bestFit="1" customWidth="1"/>
    <col min="1823" max="1823" width="15.28515625" style="2" customWidth="1"/>
    <col min="1824" max="1824" width="9.140625" style="2"/>
    <col min="1825" max="1825" width="20.28515625" style="2" customWidth="1"/>
    <col min="1826" max="1828" width="9.140625" style="2"/>
    <col min="1829" max="1829" width="14.140625" style="2" bestFit="1" customWidth="1"/>
    <col min="1830" max="1830" width="11.85546875" style="2" bestFit="1" customWidth="1"/>
    <col min="1831" max="1831" width="12.85546875" style="2" bestFit="1" customWidth="1"/>
    <col min="1832" max="2053" width="9.140625" style="2"/>
    <col min="2054" max="2054" width="26.7109375" style="2" bestFit="1" customWidth="1"/>
    <col min="2055" max="2055" width="13.7109375" style="2" bestFit="1" customWidth="1"/>
    <col min="2056" max="2056" width="26.42578125" style="2" bestFit="1" customWidth="1"/>
    <col min="2057" max="2057" width="11.5703125" style="2" customWidth="1"/>
    <col min="2058" max="2062" width="14.28515625" style="2" customWidth="1"/>
    <col min="2063" max="2063" width="9.5703125" style="2" customWidth="1"/>
    <col min="2064" max="2064" width="15.28515625" style="2" customWidth="1"/>
    <col min="2065" max="2068" width="14.28515625" style="2" customWidth="1"/>
    <col min="2069" max="2069" width="9.140625" style="2"/>
    <col min="2070" max="2072" width="14.28515625" style="2" bestFit="1" customWidth="1"/>
    <col min="2073" max="2073" width="14.28515625" style="2" customWidth="1"/>
    <col min="2074" max="2074" width="9.140625" style="2"/>
    <col min="2075" max="2077" width="15.28515625" style="2" bestFit="1" customWidth="1"/>
    <col min="2078" max="2078" width="16.42578125" style="2" bestFit="1" customWidth="1"/>
    <col min="2079" max="2079" width="15.28515625" style="2" customWidth="1"/>
    <col min="2080" max="2080" width="9.140625" style="2"/>
    <col min="2081" max="2081" width="20.28515625" style="2" customWidth="1"/>
    <col min="2082" max="2084" width="9.140625" style="2"/>
    <col min="2085" max="2085" width="14.140625" style="2" bestFit="1" customWidth="1"/>
    <col min="2086" max="2086" width="11.85546875" style="2" bestFit="1" customWidth="1"/>
    <col min="2087" max="2087" width="12.85546875" style="2" bestFit="1" customWidth="1"/>
    <col min="2088" max="2309" width="9.140625" style="2"/>
    <col min="2310" max="2310" width="26.7109375" style="2" bestFit="1" customWidth="1"/>
    <col min="2311" max="2311" width="13.7109375" style="2" bestFit="1" customWidth="1"/>
    <col min="2312" max="2312" width="26.42578125" style="2" bestFit="1" customWidth="1"/>
    <col min="2313" max="2313" width="11.5703125" style="2" customWidth="1"/>
    <col min="2314" max="2318" width="14.28515625" style="2" customWidth="1"/>
    <col min="2319" max="2319" width="9.5703125" style="2" customWidth="1"/>
    <col min="2320" max="2320" width="15.28515625" style="2" customWidth="1"/>
    <col min="2321" max="2324" width="14.28515625" style="2" customWidth="1"/>
    <col min="2325" max="2325" width="9.140625" style="2"/>
    <col min="2326" max="2328" width="14.28515625" style="2" bestFit="1" customWidth="1"/>
    <col min="2329" max="2329" width="14.28515625" style="2" customWidth="1"/>
    <col min="2330" max="2330" width="9.140625" style="2"/>
    <col min="2331" max="2333" width="15.28515625" style="2" bestFit="1" customWidth="1"/>
    <col min="2334" max="2334" width="16.42578125" style="2" bestFit="1" customWidth="1"/>
    <col min="2335" max="2335" width="15.28515625" style="2" customWidth="1"/>
    <col min="2336" max="2336" width="9.140625" style="2"/>
    <col min="2337" max="2337" width="20.28515625" style="2" customWidth="1"/>
    <col min="2338" max="2340" width="9.140625" style="2"/>
    <col min="2341" max="2341" width="14.140625" style="2" bestFit="1" customWidth="1"/>
    <col min="2342" max="2342" width="11.85546875" style="2" bestFit="1" customWidth="1"/>
    <col min="2343" max="2343" width="12.85546875" style="2" bestFit="1" customWidth="1"/>
    <col min="2344" max="2565" width="9.140625" style="2"/>
    <col min="2566" max="2566" width="26.7109375" style="2" bestFit="1" customWidth="1"/>
    <col min="2567" max="2567" width="13.7109375" style="2" bestFit="1" customWidth="1"/>
    <col min="2568" max="2568" width="26.42578125" style="2" bestFit="1" customWidth="1"/>
    <col min="2569" max="2569" width="11.5703125" style="2" customWidth="1"/>
    <col min="2570" max="2574" width="14.28515625" style="2" customWidth="1"/>
    <col min="2575" max="2575" width="9.5703125" style="2" customWidth="1"/>
    <col min="2576" max="2576" width="15.28515625" style="2" customWidth="1"/>
    <col min="2577" max="2580" width="14.28515625" style="2" customWidth="1"/>
    <col min="2581" max="2581" width="9.140625" style="2"/>
    <col min="2582" max="2584" width="14.28515625" style="2" bestFit="1" customWidth="1"/>
    <col min="2585" max="2585" width="14.28515625" style="2" customWidth="1"/>
    <col min="2586" max="2586" width="9.140625" style="2"/>
    <col min="2587" max="2589" width="15.28515625" style="2" bestFit="1" customWidth="1"/>
    <col min="2590" max="2590" width="16.42578125" style="2" bestFit="1" customWidth="1"/>
    <col min="2591" max="2591" width="15.28515625" style="2" customWidth="1"/>
    <col min="2592" max="2592" width="9.140625" style="2"/>
    <col min="2593" max="2593" width="20.28515625" style="2" customWidth="1"/>
    <col min="2594" max="2596" width="9.140625" style="2"/>
    <col min="2597" max="2597" width="14.140625" style="2" bestFit="1" customWidth="1"/>
    <col min="2598" max="2598" width="11.85546875" style="2" bestFit="1" customWidth="1"/>
    <col min="2599" max="2599" width="12.85546875" style="2" bestFit="1" customWidth="1"/>
    <col min="2600" max="2821" width="9.140625" style="2"/>
    <col min="2822" max="2822" width="26.7109375" style="2" bestFit="1" customWidth="1"/>
    <col min="2823" max="2823" width="13.7109375" style="2" bestFit="1" customWidth="1"/>
    <col min="2824" max="2824" width="26.42578125" style="2" bestFit="1" customWidth="1"/>
    <col min="2825" max="2825" width="11.5703125" style="2" customWidth="1"/>
    <col min="2826" max="2830" width="14.28515625" style="2" customWidth="1"/>
    <col min="2831" max="2831" width="9.5703125" style="2" customWidth="1"/>
    <col min="2832" max="2832" width="15.28515625" style="2" customWidth="1"/>
    <col min="2833" max="2836" width="14.28515625" style="2" customWidth="1"/>
    <col min="2837" max="2837" width="9.140625" style="2"/>
    <col min="2838" max="2840" width="14.28515625" style="2" bestFit="1" customWidth="1"/>
    <col min="2841" max="2841" width="14.28515625" style="2" customWidth="1"/>
    <col min="2842" max="2842" width="9.140625" style="2"/>
    <col min="2843" max="2845" width="15.28515625" style="2" bestFit="1" customWidth="1"/>
    <col min="2846" max="2846" width="16.42578125" style="2" bestFit="1" customWidth="1"/>
    <col min="2847" max="2847" width="15.28515625" style="2" customWidth="1"/>
    <col min="2848" max="2848" width="9.140625" style="2"/>
    <col min="2849" max="2849" width="20.28515625" style="2" customWidth="1"/>
    <col min="2850" max="2852" width="9.140625" style="2"/>
    <col min="2853" max="2853" width="14.140625" style="2" bestFit="1" customWidth="1"/>
    <col min="2854" max="2854" width="11.85546875" style="2" bestFit="1" customWidth="1"/>
    <col min="2855" max="2855" width="12.85546875" style="2" bestFit="1" customWidth="1"/>
    <col min="2856" max="3077" width="9.140625" style="2"/>
    <col min="3078" max="3078" width="26.7109375" style="2" bestFit="1" customWidth="1"/>
    <col min="3079" max="3079" width="13.7109375" style="2" bestFit="1" customWidth="1"/>
    <col min="3080" max="3080" width="26.42578125" style="2" bestFit="1" customWidth="1"/>
    <col min="3081" max="3081" width="11.5703125" style="2" customWidth="1"/>
    <col min="3082" max="3086" width="14.28515625" style="2" customWidth="1"/>
    <col min="3087" max="3087" width="9.5703125" style="2" customWidth="1"/>
    <col min="3088" max="3088" width="15.28515625" style="2" customWidth="1"/>
    <col min="3089" max="3092" width="14.28515625" style="2" customWidth="1"/>
    <col min="3093" max="3093" width="9.140625" style="2"/>
    <col min="3094" max="3096" width="14.28515625" style="2" bestFit="1" customWidth="1"/>
    <col min="3097" max="3097" width="14.28515625" style="2" customWidth="1"/>
    <col min="3098" max="3098" width="9.140625" style="2"/>
    <col min="3099" max="3101" width="15.28515625" style="2" bestFit="1" customWidth="1"/>
    <col min="3102" max="3102" width="16.42578125" style="2" bestFit="1" customWidth="1"/>
    <col min="3103" max="3103" width="15.28515625" style="2" customWidth="1"/>
    <col min="3104" max="3104" width="9.140625" style="2"/>
    <col min="3105" max="3105" width="20.28515625" style="2" customWidth="1"/>
    <col min="3106" max="3108" width="9.140625" style="2"/>
    <col min="3109" max="3109" width="14.140625" style="2" bestFit="1" customWidth="1"/>
    <col min="3110" max="3110" width="11.85546875" style="2" bestFit="1" customWidth="1"/>
    <col min="3111" max="3111" width="12.85546875" style="2" bestFit="1" customWidth="1"/>
    <col min="3112" max="3333" width="9.140625" style="2"/>
    <col min="3334" max="3334" width="26.7109375" style="2" bestFit="1" customWidth="1"/>
    <col min="3335" max="3335" width="13.7109375" style="2" bestFit="1" customWidth="1"/>
    <col min="3336" max="3336" width="26.42578125" style="2" bestFit="1" customWidth="1"/>
    <col min="3337" max="3337" width="11.5703125" style="2" customWidth="1"/>
    <col min="3338" max="3342" width="14.28515625" style="2" customWidth="1"/>
    <col min="3343" max="3343" width="9.5703125" style="2" customWidth="1"/>
    <col min="3344" max="3344" width="15.28515625" style="2" customWidth="1"/>
    <col min="3345" max="3348" width="14.28515625" style="2" customWidth="1"/>
    <col min="3349" max="3349" width="9.140625" style="2"/>
    <col min="3350" max="3352" width="14.28515625" style="2" bestFit="1" customWidth="1"/>
    <col min="3353" max="3353" width="14.28515625" style="2" customWidth="1"/>
    <col min="3354" max="3354" width="9.140625" style="2"/>
    <col min="3355" max="3357" width="15.28515625" style="2" bestFit="1" customWidth="1"/>
    <col min="3358" max="3358" width="16.42578125" style="2" bestFit="1" customWidth="1"/>
    <col min="3359" max="3359" width="15.28515625" style="2" customWidth="1"/>
    <col min="3360" max="3360" width="9.140625" style="2"/>
    <col min="3361" max="3361" width="20.28515625" style="2" customWidth="1"/>
    <col min="3362" max="3364" width="9.140625" style="2"/>
    <col min="3365" max="3365" width="14.140625" style="2" bestFit="1" customWidth="1"/>
    <col min="3366" max="3366" width="11.85546875" style="2" bestFit="1" customWidth="1"/>
    <col min="3367" max="3367" width="12.85546875" style="2" bestFit="1" customWidth="1"/>
    <col min="3368" max="3589" width="9.140625" style="2"/>
    <col min="3590" max="3590" width="26.7109375" style="2" bestFit="1" customWidth="1"/>
    <col min="3591" max="3591" width="13.7109375" style="2" bestFit="1" customWidth="1"/>
    <col min="3592" max="3592" width="26.42578125" style="2" bestFit="1" customWidth="1"/>
    <col min="3593" max="3593" width="11.5703125" style="2" customWidth="1"/>
    <col min="3594" max="3598" width="14.28515625" style="2" customWidth="1"/>
    <col min="3599" max="3599" width="9.5703125" style="2" customWidth="1"/>
    <col min="3600" max="3600" width="15.28515625" style="2" customWidth="1"/>
    <col min="3601" max="3604" width="14.28515625" style="2" customWidth="1"/>
    <col min="3605" max="3605" width="9.140625" style="2"/>
    <col min="3606" max="3608" width="14.28515625" style="2" bestFit="1" customWidth="1"/>
    <col min="3609" max="3609" width="14.28515625" style="2" customWidth="1"/>
    <col min="3610" max="3610" width="9.140625" style="2"/>
    <col min="3611" max="3613" width="15.28515625" style="2" bestFit="1" customWidth="1"/>
    <col min="3614" max="3614" width="16.42578125" style="2" bestFit="1" customWidth="1"/>
    <col min="3615" max="3615" width="15.28515625" style="2" customWidth="1"/>
    <col min="3616" max="3616" width="9.140625" style="2"/>
    <col min="3617" max="3617" width="20.28515625" style="2" customWidth="1"/>
    <col min="3618" max="3620" width="9.140625" style="2"/>
    <col min="3621" max="3621" width="14.140625" style="2" bestFit="1" customWidth="1"/>
    <col min="3622" max="3622" width="11.85546875" style="2" bestFit="1" customWidth="1"/>
    <col min="3623" max="3623" width="12.85546875" style="2" bestFit="1" customWidth="1"/>
    <col min="3624" max="3845" width="9.140625" style="2"/>
    <col min="3846" max="3846" width="26.7109375" style="2" bestFit="1" customWidth="1"/>
    <col min="3847" max="3847" width="13.7109375" style="2" bestFit="1" customWidth="1"/>
    <col min="3848" max="3848" width="26.42578125" style="2" bestFit="1" customWidth="1"/>
    <col min="3849" max="3849" width="11.5703125" style="2" customWidth="1"/>
    <col min="3850" max="3854" width="14.28515625" style="2" customWidth="1"/>
    <col min="3855" max="3855" width="9.5703125" style="2" customWidth="1"/>
    <col min="3856" max="3856" width="15.28515625" style="2" customWidth="1"/>
    <col min="3857" max="3860" width="14.28515625" style="2" customWidth="1"/>
    <col min="3861" max="3861" width="9.140625" style="2"/>
    <col min="3862" max="3864" width="14.28515625" style="2" bestFit="1" customWidth="1"/>
    <col min="3865" max="3865" width="14.28515625" style="2" customWidth="1"/>
    <col min="3866" max="3866" width="9.140625" style="2"/>
    <col min="3867" max="3869" width="15.28515625" style="2" bestFit="1" customWidth="1"/>
    <col min="3870" max="3870" width="16.42578125" style="2" bestFit="1" customWidth="1"/>
    <col min="3871" max="3871" width="15.28515625" style="2" customWidth="1"/>
    <col min="3872" max="3872" width="9.140625" style="2"/>
    <col min="3873" max="3873" width="20.28515625" style="2" customWidth="1"/>
    <col min="3874" max="3876" width="9.140625" style="2"/>
    <col min="3877" max="3877" width="14.140625" style="2" bestFit="1" customWidth="1"/>
    <col min="3878" max="3878" width="11.85546875" style="2" bestFit="1" customWidth="1"/>
    <col min="3879" max="3879" width="12.85546875" style="2" bestFit="1" customWidth="1"/>
    <col min="3880" max="4101" width="9.140625" style="2"/>
    <col min="4102" max="4102" width="26.7109375" style="2" bestFit="1" customWidth="1"/>
    <col min="4103" max="4103" width="13.7109375" style="2" bestFit="1" customWidth="1"/>
    <col min="4104" max="4104" width="26.42578125" style="2" bestFit="1" customWidth="1"/>
    <col min="4105" max="4105" width="11.5703125" style="2" customWidth="1"/>
    <col min="4106" max="4110" width="14.28515625" style="2" customWidth="1"/>
    <col min="4111" max="4111" width="9.5703125" style="2" customWidth="1"/>
    <col min="4112" max="4112" width="15.28515625" style="2" customWidth="1"/>
    <col min="4113" max="4116" width="14.28515625" style="2" customWidth="1"/>
    <col min="4117" max="4117" width="9.140625" style="2"/>
    <col min="4118" max="4120" width="14.28515625" style="2" bestFit="1" customWidth="1"/>
    <col min="4121" max="4121" width="14.28515625" style="2" customWidth="1"/>
    <col min="4122" max="4122" width="9.140625" style="2"/>
    <col min="4123" max="4125" width="15.28515625" style="2" bestFit="1" customWidth="1"/>
    <col min="4126" max="4126" width="16.42578125" style="2" bestFit="1" customWidth="1"/>
    <col min="4127" max="4127" width="15.28515625" style="2" customWidth="1"/>
    <col min="4128" max="4128" width="9.140625" style="2"/>
    <col min="4129" max="4129" width="20.28515625" style="2" customWidth="1"/>
    <col min="4130" max="4132" width="9.140625" style="2"/>
    <col min="4133" max="4133" width="14.140625" style="2" bestFit="1" customWidth="1"/>
    <col min="4134" max="4134" width="11.85546875" style="2" bestFit="1" customWidth="1"/>
    <col min="4135" max="4135" width="12.85546875" style="2" bestFit="1" customWidth="1"/>
    <col min="4136" max="4357" width="9.140625" style="2"/>
    <col min="4358" max="4358" width="26.7109375" style="2" bestFit="1" customWidth="1"/>
    <col min="4359" max="4359" width="13.7109375" style="2" bestFit="1" customWidth="1"/>
    <col min="4360" max="4360" width="26.42578125" style="2" bestFit="1" customWidth="1"/>
    <col min="4361" max="4361" width="11.5703125" style="2" customWidth="1"/>
    <col min="4362" max="4366" width="14.28515625" style="2" customWidth="1"/>
    <col min="4367" max="4367" width="9.5703125" style="2" customWidth="1"/>
    <col min="4368" max="4368" width="15.28515625" style="2" customWidth="1"/>
    <col min="4369" max="4372" width="14.28515625" style="2" customWidth="1"/>
    <col min="4373" max="4373" width="9.140625" style="2"/>
    <col min="4374" max="4376" width="14.28515625" style="2" bestFit="1" customWidth="1"/>
    <col min="4377" max="4377" width="14.28515625" style="2" customWidth="1"/>
    <col min="4378" max="4378" width="9.140625" style="2"/>
    <col min="4379" max="4381" width="15.28515625" style="2" bestFit="1" customWidth="1"/>
    <col min="4382" max="4382" width="16.42578125" style="2" bestFit="1" customWidth="1"/>
    <col min="4383" max="4383" width="15.28515625" style="2" customWidth="1"/>
    <col min="4384" max="4384" width="9.140625" style="2"/>
    <col min="4385" max="4385" width="20.28515625" style="2" customWidth="1"/>
    <col min="4386" max="4388" width="9.140625" style="2"/>
    <col min="4389" max="4389" width="14.140625" style="2" bestFit="1" customWidth="1"/>
    <col min="4390" max="4390" width="11.85546875" style="2" bestFit="1" customWidth="1"/>
    <col min="4391" max="4391" width="12.85546875" style="2" bestFit="1" customWidth="1"/>
    <col min="4392" max="4613" width="9.140625" style="2"/>
    <col min="4614" max="4614" width="26.7109375" style="2" bestFit="1" customWidth="1"/>
    <col min="4615" max="4615" width="13.7109375" style="2" bestFit="1" customWidth="1"/>
    <col min="4616" max="4616" width="26.42578125" style="2" bestFit="1" customWidth="1"/>
    <col min="4617" max="4617" width="11.5703125" style="2" customWidth="1"/>
    <col min="4618" max="4622" width="14.28515625" style="2" customWidth="1"/>
    <col min="4623" max="4623" width="9.5703125" style="2" customWidth="1"/>
    <col min="4624" max="4624" width="15.28515625" style="2" customWidth="1"/>
    <col min="4625" max="4628" width="14.28515625" style="2" customWidth="1"/>
    <col min="4629" max="4629" width="9.140625" style="2"/>
    <col min="4630" max="4632" width="14.28515625" style="2" bestFit="1" customWidth="1"/>
    <col min="4633" max="4633" width="14.28515625" style="2" customWidth="1"/>
    <col min="4634" max="4634" width="9.140625" style="2"/>
    <col min="4635" max="4637" width="15.28515625" style="2" bestFit="1" customWidth="1"/>
    <col min="4638" max="4638" width="16.42578125" style="2" bestFit="1" customWidth="1"/>
    <col min="4639" max="4639" width="15.28515625" style="2" customWidth="1"/>
    <col min="4640" max="4640" width="9.140625" style="2"/>
    <col min="4641" max="4641" width="20.28515625" style="2" customWidth="1"/>
    <col min="4642" max="4644" width="9.140625" style="2"/>
    <col min="4645" max="4645" width="14.140625" style="2" bestFit="1" customWidth="1"/>
    <col min="4646" max="4646" width="11.85546875" style="2" bestFit="1" customWidth="1"/>
    <col min="4647" max="4647" width="12.85546875" style="2" bestFit="1" customWidth="1"/>
    <col min="4648" max="4869" width="9.140625" style="2"/>
    <col min="4870" max="4870" width="26.7109375" style="2" bestFit="1" customWidth="1"/>
    <col min="4871" max="4871" width="13.7109375" style="2" bestFit="1" customWidth="1"/>
    <col min="4872" max="4872" width="26.42578125" style="2" bestFit="1" customWidth="1"/>
    <col min="4873" max="4873" width="11.5703125" style="2" customWidth="1"/>
    <col min="4874" max="4878" width="14.28515625" style="2" customWidth="1"/>
    <col min="4879" max="4879" width="9.5703125" style="2" customWidth="1"/>
    <col min="4880" max="4880" width="15.28515625" style="2" customWidth="1"/>
    <col min="4881" max="4884" width="14.28515625" style="2" customWidth="1"/>
    <col min="4885" max="4885" width="9.140625" style="2"/>
    <col min="4886" max="4888" width="14.28515625" style="2" bestFit="1" customWidth="1"/>
    <col min="4889" max="4889" width="14.28515625" style="2" customWidth="1"/>
    <col min="4890" max="4890" width="9.140625" style="2"/>
    <col min="4891" max="4893" width="15.28515625" style="2" bestFit="1" customWidth="1"/>
    <col min="4894" max="4894" width="16.42578125" style="2" bestFit="1" customWidth="1"/>
    <col min="4895" max="4895" width="15.28515625" style="2" customWidth="1"/>
    <col min="4896" max="4896" width="9.140625" style="2"/>
    <col min="4897" max="4897" width="20.28515625" style="2" customWidth="1"/>
    <col min="4898" max="4900" width="9.140625" style="2"/>
    <col min="4901" max="4901" width="14.140625" style="2" bestFit="1" customWidth="1"/>
    <col min="4902" max="4902" width="11.85546875" style="2" bestFit="1" customWidth="1"/>
    <col min="4903" max="4903" width="12.85546875" style="2" bestFit="1" customWidth="1"/>
    <col min="4904" max="5125" width="9.140625" style="2"/>
    <col min="5126" max="5126" width="26.7109375" style="2" bestFit="1" customWidth="1"/>
    <col min="5127" max="5127" width="13.7109375" style="2" bestFit="1" customWidth="1"/>
    <col min="5128" max="5128" width="26.42578125" style="2" bestFit="1" customWidth="1"/>
    <col min="5129" max="5129" width="11.5703125" style="2" customWidth="1"/>
    <col min="5130" max="5134" width="14.28515625" style="2" customWidth="1"/>
    <col min="5135" max="5135" width="9.5703125" style="2" customWidth="1"/>
    <col min="5136" max="5136" width="15.28515625" style="2" customWidth="1"/>
    <col min="5137" max="5140" width="14.28515625" style="2" customWidth="1"/>
    <col min="5141" max="5141" width="9.140625" style="2"/>
    <col min="5142" max="5144" width="14.28515625" style="2" bestFit="1" customWidth="1"/>
    <col min="5145" max="5145" width="14.28515625" style="2" customWidth="1"/>
    <col min="5146" max="5146" width="9.140625" style="2"/>
    <col min="5147" max="5149" width="15.28515625" style="2" bestFit="1" customWidth="1"/>
    <col min="5150" max="5150" width="16.42578125" style="2" bestFit="1" customWidth="1"/>
    <col min="5151" max="5151" width="15.28515625" style="2" customWidth="1"/>
    <col min="5152" max="5152" width="9.140625" style="2"/>
    <col min="5153" max="5153" width="20.28515625" style="2" customWidth="1"/>
    <col min="5154" max="5156" width="9.140625" style="2"/>
    <col min="5157" max="5157" width="14.140625" style="2" bestFit="1" customWidth="1"/>
    <col min="5158" max="5158" width="11.85546875" style="2" bestFit="1" customWidth="1"/>
    <col min="5159" max="5159" width="12.85546875" style="2" bestFit="1" customWidth="1"/>
    <col min="5160" max="5381" width="9.140625" style="2"/>
    <col min="5382" max="5382" width="26.7109375" style="2" bestFit="1" customWidth="1"/>
    <col min="5383" max="5383" width="13.7109375" style="2" bestFit="1" customWidth="1"/>
    <col min="5384" max="5384" width="26.42578125" style="2" bestFit="1" customWidth="1"/>
    <col min="5385" max="5385" width="11.5703125" style="2" customWidth="1"/>
    <col min="5386" max="5390" width="14.28515625" style="2" customWidth="1"/>
    <col min="5391" max="5391" width="9.5703125" style="2" customWidth="1"/>
    <col min="5392" max="5392" width="15.28515625" style="2" customWidth="1"/>
    <col min="5393" max="5396" width="14.28515625" style="2" customWidth="1"/>
    <col min="5397" max="5397" width="9.140625" style="2"/>
    <col min="5398" max="5400" width="14.28515625" style="2" bestFit="1" customWidth="1"/>
    <col min="5401" max="5401" width="14.28515625" style="2" customWidth="1"/>
    <col min="5402" max="5402" width="9.140625" style="2"/>
    <col min="5403" max="5405" width="15.28515625" style="2" bestFit="1" customWidth="1"/>
    <col min="5406" max="5406" width="16.42578125" style="2" bestFit="1" customWidth="1"/>
    <col min="5407" max="5407" width="15.28515625" style="2" customWidth="1"/>
    <col min="5408" max="5408" width="9.140625" style="2"/>
    <col min="5409" max="5409" width="20.28515625" style="2" customWidth="1"/>
    <col min="5410" max="5412" width="9.140625" style="2"/>
    <col min="5413" max="5413" width="14.140625" style="2" bestFit="1" customWidth="1"/>
    <col min="5414" max="5414" width="11.85546875" style="2" bestFit="1" customWidth="1"/>
    <col min="5415" max="5415" width="12.85546875" style="2" bestFit="1" customWidth="1"/>
    <col min="5416" max="5637" width="9.140625" style="2"/>
    <col min="5638" max="5638" width="26.7109375" style="2" bestFit="1" customWidth="1"/>
    <col min="5639" max="5639" width="13.7109375" style="2" bestFit="1" customWidth="1"/>
    <col min="5640" max="5640" width="26.42578125" style="2" bestFit="1" customWidth="1"/>
    <col min="5641" max="5641" width="11.5703125" style="2" customWidth="1"/>
    <col min="5642" max="5646" width="14.28515625" style="2" customWidth="1"/>
    <col min="5647" max="5647" width="9.5703125" style="2" customWidth="1"/>
    <col min="5648" max="5648" width="15.28515625" style="2" customWidth="1"/>
    <col min="5649" max="5652" width="14.28515625" style="2" customWidth="1"/>
    <col min="5653" max="5653" width="9.140625" style="2"/>
    <col min="5654" max="5656" width="14.28515625" style="2" bestFit="1" customWidth="1"/>
    <col min="5657" max="5657" width="14.28515625" style="2" customWidth="1"/>
    <col min="5658" max="5658" width="9.140625" style="2"/>
    <col min="5659" max="5661" width="15.28515625" style="2" bestFit="1" customWidth="1"/>
    <col min="5662" max="5662" width="16.42578125" style="2" bestFit="1" customWidth="1"/>
    <col min="5663" max="5663" width="15.28515625" style="2" customWidth="1"/>
    <col min="5664" max="5664" width="9.140625" style="2"/>
    <col min="5665" max="5665" width="20.28515625" style="2" customWidth="1"/>
    <col min="5666" max="5668" width="9.140625" style="2"/>
    <col min="5669" max="5669" width="14.140625" style="2" bestFit="1" customWidth="1"/>
    <col min="5670" max="5670" width="11.85546875" style="2" bestFit="1" customWidth="1"/>
    <col min="5671" max="5671" width="12.85546875" style="2" bestFit="1" customWidth="1"/>
    <col min="5672" max="5893" width="9.140625" style="2"/>
    <col min="5894" max="5894" width="26.7109375" style="2" bestFit="1" customWidth="1"/>
    <col min="5895" max="5895" width="13.7109375" style="2" bestFit="1" customWidth="1"/>
    <col min="5896" max="5896" width="26.42578125" style="2" bestFit="1" customWidth="1"/>
    <col min="5897" max="5897" width="11.5703125" style="2" customWidth="1"/>
    <col min="5898" max="5902" width="14.28515625" style="2" customWidth="1"/>
    <col min="5903" max="5903" width="9.5703125" style="2" customWidth="1"/>
    <col min="5904" max="5904" width="15.28515625" style="2" customWidth="1"/>
    <col min="5905" max="5908" width="14.28515625" style="2" customWidth="1"/>
    <col min="5909" max="5909" width="9.140625" style="2"/>
    <col min="5910" max="5912" width="14.28515625" style="2" bestFit="1" customWidth="1"/>
    <col min="5913" max="5913" width="14.28515625" style="2" customWidth="1"/>
    <col min="5914" max="5914" width="9.140625" style="2"/>
    <col min="5915" max="5917" width="15.28515625" style="2" bestFit="1" customWidth="1"/>
    <col min="5918" max="5918" width="16.42578125" style="2" bestFit="1" customWidth="1"/>
    <col min="5919" max="5919" width="15.28515625" style="2" customWidth="1"/>
    <col min="5920" max="5920" width="9.140625" style="2"/>
    <col min="5921" max="5921" width="20.28515625" style="2" customWidth="1"/>
    <col min="5922" max="5924" width="9.140625" style="2"/>
    <col min="5925" max="5925" width="14.140625" style="2" bestFit="1" customWidth="1"/>
    <col min="5926" max="5926" width="11.85546875" style="2" bestFit="1" customWidth="1"/>
    <col min="5927" max="5927" width="12.85546875" style="2" bestFit="1" customWidth="1"/>
    <col min="5928" max="6149" width="9.140625" style="2"/>
    <col min="6150" max="6150" width="26.7109375" style="2" bestFit="1" customWidth="1"/>
    <col min="6151" max="6151" width="13.7109375" style="2" bestFit="1" customWidth="1"/>
    <col min="6152" max="6152" width="26.42578125" style="2" bestFit="1" customWidth="1"/>
    <col min="6153" max="6153" width="11.5703125" style="2" customWidth="1"/>
    <col min="6154" max="6158" width="14.28515625" style="2" customWidth="1"/>
    <col min="6159" max="6159" width="9.5703125" style="2" customWidth="1"/>
    <col min="6160" max="6160" width="15.28515625" style="2" customWidth="1"/>
    <col min="6161" max="6164" width="14.28515625" style="2" customWidth="1"/>
    <col min="6165" max="6165" width="9.140625" style="2"/>
    <col min="6166" max="6168" width="14.28515625" style="2" bestFit="1" customWidth="1"/>
    <col min="6169" max="6169" width="14.28515625" style="2" customWidth="1"/>
    <col min="6170" max="6170" width="9.140625" style="2"/>
    <col min="6171" max="6173" width="15.28515625" style="2" bestFit="1" customWidth="1"/>
    <col min="6174" max="6174" width="16.42578125" style="2" bestFit="1" customWidth="1"/>
    <col min="6175" max="6175" width="15.28515625" style="2" customWidth="1"/>
    <col min="6176" max="6176" width="9.140625" style="2"/>
    <col min="6177" max="6177" width="20.28515625" style="2" customWidth="1"/>
    <col min="6178" max="6180" width="9.140625" style="2"/>
    <col min="6181" max="6181" width="14.140625" style="2" bestFit="1" customWidth="1"/>
    <col min="6182" max="6182" width="11.85546875" style="2" bestFit="1" customWidth="1"/>
    <col min="6183" max="6183" width="12.85546875" style="2" bestFit="1" customWidth="1"/>
    <col min="6184" max="6405" width="9.140625" style="2"/>
    <col min="6406" max="6406" width="26.7109375" style="2" bestFit="1" customWidth="1"/>
    <col min="6407" max="6407" width="13.7109375" style="2" bestFit="1" customWidth="1"/>
    <col min="6408" max="6408" width="26.42578125" style="2" bestFit="1" customWidth="1"/>
    <col min="6409" max="6409" width="11.5703125" style="2" customWidth="1"/>
    <col min="6410" max="6414" width="14.28515625" style="2" customWidth="1"/>
    <col min="6415" max="6415" width="9.5703125" style="2" customWidth="1"/>
    <col min="6416" max="6416" width="15.28515625" style="2" customWidth="1"/>
    <col min="6417" max="6420" width="14.28515625" style="2" customWidth="1"/>
    <col min="6421" max="6421" width="9.140625" style="2"/>
    <col min="6422" max="6424" width="14.28515625" style="2" bestFit="1" customWidth="1"/>
    <col min="6425" max="6425" width="14.28515625" style="2" customWidth="1"/>
    <col min="6426" max="6426" width="9.140625" style="2"/>
    <col min="6427" max="6429" width="15.28515625" style="2" bestFit="1" customWidth="1"/>
    <col min="6430" max="6430" width="16.42578125" style="2" bestFit="1" customWidth="1"/>
    <col min="6431" max="6431" width="15.28515625" style="2" customWidth="1"/>
    <col min="6432" max="6432" width="9.140625" style="2"/>
    <col min="6433" max="6433" width="20.28515625" style="2" customWidth="1"/>
    <col min="6434" max="6436" width="9.140625" style="2"/>
    <col min="6437" max="6437" width="14.140625" style="2" bestFit="1" customWidth="1"/>
    <col min="6438" max="6438" width="11.85546875" style="2" bestFit="1" customWidth="1"/>
    <col min="6439" max="6439" width="12.85546875" style="2" bestFit="1" customWidth="1"/>
    <col min="6440" max="6661" width="9.140625" style="2"/>
    <col min="6662" max="6662" width="26.7109375" style="2" bestFit="1" customWidth="1"/>
    <col min="6663" max="6663" width="13.7109375" style="2" bestFit="1" customWidth="1"/>
    <col min="6664" max="6664" width="26.42578125" style="2" bestFit="1" customWidth="1"/>
    <col min="6665" max="6665" width="11.5703125" style="2" customWidth="1"/>
    <col min="6666" max="6670" width="14.28515625" style="2" customWidth="1"/>
    <col min="6671" max="6671" width="9.5703125" style="2" customWidth="1"/>
    <col min="6672" max="6672" width="15.28515625" style="2" customWidth="1"/>
    <col min="6673" max="6676" width="14.28515625" style="2" customWidth="1"/>
    <col min="6677" max="6677" width="9.140625" style="2"/>
    <col min="6678" max="6680" width="14.28515625" style="2" bestFit="1" customWidth="1"/>
    <col min="6681" max="6681" width="14.28515625" style="2" customWidth="1"/>
    <col min="6682" max="6682" width="9.140625" style="2"/>
    <col min="6683" max="6685" width="15.28515625" style="2" bestFit="1" customWidth="1"/>
    <col min="6686" max="6686" width="16.42578125" style="2" bestFit="1" customWidth="1"/>
    <col min="6687" max="6687" width="15.28515625" style="2" customWidth="1"/>
    <col min="6688" max="6688" width="9.140625" style="2"/>
    <col min="6689" max="6689" width="20.28515625" style="2" customWidth="1"/>
    <col min="6690" max="6692" width="9.140625" style="2"/>
    <col min="6693" max="6693" width="14.140625" style="2" bestFit="1" customWidth="1"/>
    <col min="6694" max="6694" width="11.85546875" style="2" bestFit="1" customWidth="1"/>
    <col min="6695" max="6695" width="12.85546875" style="2" bestFit="1" customWidth="1"/>
    <col min="6696" max="6917" width="9.140625" style="2"/>
    <col min="6918" max="6918" width="26.7109375" style="2" bestFit="1" customWidth="1"/>
    <col min="6919" max="6919" width="13.7109375" style="2" bestFit="1" customWidth="1"/>
    <col min="6920" max="6920" width="26.42578125" style="2" bestFit="1" customWidth="1"/>
    <col min="6921" max="6921" width="11.5703125" style="2" customWidth="1"/>
    <col min="6922" max="6926" width="14.28515625" style="2" customWidth="1"/>
    <col min="6927" max="6927" width="9.5703125" style="2" customWidth="1"/>
    <col min="6928" max="6928" width="15.28515625" style="2" customWidth="1"/>
    <col min="6929" max="6932" width="14.28515625" style="2" customWidth="1"/>
    <col min="6933" max="6933" width="9.140625" style="2"/>
    <col min="6934" max="6936" width="14.28515625" style="2" bestFit="1" customWidth="1"/>
    <col min="6937" max="6937" width="14.28515625" style="2" customWidth="1"/>
    <col min="6938" max="6938" width="9.140625" style="2"/>
    <col min="6939" max="6941" width="15.28515625" style="2" bestFit="1" customWidth="1"/>
    <col min="6942" max="6942" width="16.42578125" style="2" bestFit="1" customWidth="1"/>
    <col min="6943" max="6943" width="15.28515625" style="2" customWidth="1"/>
    <col min="6944" max="6944" width="9.140625" style="2"/>
    <col min="6945" max="6945" width="20.28515625" style="2" customWidth="1"/>
    <col min="6946" max="6948" width="9.140625" style="2"/>
    <col min="6949" max="6949" width="14.140625" style="2" bestFit="1" customWidth="1"/>
    <col min="6950" max="6950" width="11.85546875" style="2" bestFit="1" customWidth="1"/>
    <col min="6951" max="6951" width="12.85546875" style="2" bestFit="1" customWidth="1"/>
    <col min="6952" max="7173" width="9.140625" style="2"/>
    <col min="7174" max="7174" width="26.7109375" style="2" bestFit="1" customWidth="1"/>
    <col min="7175" max="7175" width="13.7109375" style="2" bestFit="1" customWidth="1"/>
    <col min="7176" max="7176" width="26.42578125" style="2" bestFit="1" customWidth="1"/>
    <col min="7177" max="7177" width="11.5703125" style="2" customWidth="1"/>
    <col min="7178" max="7182" width="14.28515625" style="2" customWidth="1"/>
    <col min="7183" max="7183" width="9.5703125" style="2" customWidth="1"/>
    <col min="7184" max="7184" width="15.28515625" style="2" customWidth="1"/>
    <col min="7185" max="7188" width="14.28515625" style="2" customWidth="1"/>
    <col min="7189" max="7189" width="9.140625" style="2"/>
    <col min="7190" max="7192" width="14.28515625" style="2" bestFit="1" customWidth="1"/>
    <col min="7193" max="7193" width="14.28515625" style="2" customWidth="1"/>
    <col min="7194" max="7194" width="9.140625" style="2"/>
    <col min="7195" max="7197" width="15.28515625" style="2" bestFit="1" customWidth="1"/>
    <col min="7198" max="7198" width="16.42578125" style="2" bestFit="1" customWidth="1"/>
    <col min="7199" max="7199" width="15.28515625" style="2" customWidth="1"/>
    <col min="7200" max="7200" width="9.140625" style="2"/>
    <col min="7201" max="7201" width="20.28515625" style="2" customWidth="1"/>
    <col min="7202" max="7204" width="9.140625" style="2"/>
    <col min="7205" max="7205" width="14.140625" style="2" bestFit="1" customWidth="1"/>
    <col min="7206" max="7206" width="11.85546875" style="2" bestFit="1" customWidth="1"/>
    <col min="7207" max="7207" width="12.85546875" style="2" bestFit="1" customWidth="1"/>
    <col min="7208" max="7429" width="9.140625" style="2"/>
    <col min="7430" max="7430" width="26.7109375" style="2" bestFit="1" customWidth="1"/>
    <col min="7431" max="7431" width="13.7109375" style="2" bestFit="1" customWidth="1"/>
    <col min="7432" max="7432" width="26.42578125" style="2" bestFit="1" customWidth="1"/>
    <col min="7433" max="7433" width="11.5703125" style="2" customWidth="1"/>
    <col min="7434" max="7438" width="14.28515625" style="2" customWidth="1"/>
    <col min="7439" max="7439" width="9.5703125" style="2" customWidth="1"/>
    <col min="7440" max="7440" width="15.28515625" style="2" customWidth="1"/>
    <col min="7441" max="7444" width="14.28515625" style="2" customWidth="1"/>
    <col min="7445" max="7445" width="9.140625" style="2"/>
    <col min="7446" max="7448" width="14.28515625" style="2" bestFit="1" customWidth="1"/>
    <col min="7449" max="7449" width="14.28515625" style="2" customWidth="1"/>
    <col min="7450" max="7450" width="9.140625" style="2"/>
    <col min="7451" max="7453" width="15.28515625" style="2" bestFit="1" customWidth="1"/>
    <col min="7454" max="7454" width="16.42578125" style="2" bestFit="1" customWidth="1"/>
    <col min="7455" max="7455" width="15.28515625" style="2" customWidth="1"/>
    <col min="7456" max="7456" width="9.140625" style="2"/>
    <col min="7457" max="7457" width="20.28515625" style="2" customWidth="1"/>
    <col min="7458" max="7460" width="9.140625" style="2"/>
    <col min="7461" max="7461" width="14.140625" style="2" bestFit="1" customWidth="1"/>
    <col min="7462" max="7462" width="11.85546875" style="2" bestFit="1" customWidth="1"/>
    <col min="7463" max="7463" width="12.85546875" style="2" bestFit="1" customWidth="1"/>
    <col min="7464" max="7685" width="9.140625" style="2"/>
    <col min="7686" max="7686" width="26.7109375" style="2" bestFit="1" customWidth="1"/>
    <col min="7687" max="7687" width="13.7109375" style="2" bestFit="1" customWidth="1"/>
    <col min="7688" max="7688" width="26.42578125" style="2" bestFit="1" customWidth="1"/>
    <col min="7689" max="7689" width="11.5703125" style="2" customWidth="1"/>
    <col min="7690" max="7694" width="14.28515625" style="2" customWidth="1"/>
    <col min="7695" max="7695" width="9.5703125" style="2" customWidth="1"/>
    <col min="7696" max="7696" width="15.28515625" style="2" customWidth="1"/>
    <col min="7697" max="7700" width="14.28515625" style="2" customWidth="1"/>
    <col min="7701" max="7701" width="9.140625" style="2"/>
    <col min="7702" max="7704" width="14.28515625" style="2" bestFit="1" customWidth="1"/>
    <col min="7705" max="7705" width="14.28515625" style="2" customWidth="1"/>
    <col min="7706" max="7706" width="9.140625" style="2"/>
    <col min="7707" max="7709" width="15.28515625" style="2" bestFit="1" customWidth="1"/>
    <col min="7710" max="7710" width="16.42578125" style="2" bestFit="1" customWidth="1"/>
    <col min="7711" max="7711" width="15.28515625" style="2" customWidth="1"/>
    <col min="7712" max="7712" width="9.140625" style="2"/>
    <col min="7713" max="7713" width="20.28515625" style="2" customWidth="1"/>
    <col min="7714" max="7716" width="9.140625" style="2"/>
    <col min="7717" max="7717" width="14.140625" style="2" bestFit="1" customWidth="1"/>
    <col min="7718" max="7718" width="11.85546875" style="2" bestFit="1" customWidth="1"/>
    <col min="7719" max="7719" width="12.85546875" style="2" bestFit="1" customWidth="1"/>
    <col min="7720" max="7941" width="9.140625" style="2"/>
    <col min="7942" max="7942" width="26.7109375" style="2" bestFit="1" customWidth="1"/>
    <col min="7943" max="7943" width="13.7109375" style="2" bestFit="1" customWidth="1"/>
    <col min="7944" max="7944" width="26.42578125" style="2" bestFit="1" customWidth="1"/>
    <col min="7945" max="7945" width="11.5703125" style="2" customWidth="1"/>
    <col min="7946" max="7950" width="14.28515625" style="2" customWidth="1"/>
    <col min="7951" max="7951" width="9.5703125" style="2" customWidth="1"/>
    <col min="7952" max="7952" width="15.28515625" style="2" customWidth="1"/>
    <col min="7953" max="7956" width="14.28515625" style="2" customWidth="1"/>
    <col min="7957" max="7957" width="9.140625" style="2"/>
    <col min="7958" max="7960" width="14.28515625" style="2" bestFit="1" customWidth="1"/>
    <col min="7961" max="7961" width="14.28515625" style="2" customWidth="1"/>
    <col min="7962" max="7962" width="9.140625" style="2"/>
    <col min="7963" max="7965" width="15.28515625" style="2" bestFit="1" customWidth="1"/>
    <col min="7966" max="7966" width="16.42578125" style="2" bestFit="1" customWidth="1"/>
    <col min="7967" max="7967" width="15.28515625" style="2" customWidth="1"/>
    <col min="7968" max="7968" width="9.140625" style="2"/>
    <col min="7969" max="7969" width="20.28515625" style="2" customWidth="1"/>
    <col min="7970" max="7972" width="9.140625" style="2"/>
    <col min="7973" max="7973" width="14.140625" style="2" bestFit="1" customWidth="1"/>
    <col min="7974" max="7974" width="11.85546875" style="2" bestFit="1" customWidth="1"/>
    <col min="7975" max="7975" width="12.85546875" style="2" bestFit="1" customWidth="1"/>
    <col min="7976" max="8197" width="9.140625" style="2"/>
    <col min="8198" max="8198" width="26.7109375" style="2" bestFit="1" customWidth="1"/>
    <col min="8199" max="8199" width="13.7109375" style="2" bestFit="1" customWidth="1"/>
    <col min="8200" max="8200" width="26.42578125" style="2" bestFit="1" customWidth="1"/>
    <col min="8201" max="8201" width="11.5703125" style="2" customWidth="1"/>
    <col min="8202" max="8206" width="14.28515625" style="2" customWidth="1"/>
    <col min="8207" max="8207" width="9.5703125" style="2" customWidth="1"/>
    <col min="8208" max="8208" width="15.28515625" style="2" customWidth="1"/>
    <col min="8209" max="8212" width="14.28515625" style="2" customWidth="1"/>
    <col min="8213" max="8213" width="9.140625" style="2"/>
    <col min="8214" max="8216" width="14.28515625" style="2" bestFit="1" customWidth="1"/>
    <col min="8217" max="8217" width="14.28515625" style="2" customWidth="1"/>
    <col min="8218" max="8218" width="9.140625" style="2"/>
    <col min="8219" max="8221" width="15.28515625" style="2" bestFit="1" customWidth="1"/>
    <col min="8222" max="8222" width="16.42578125" style="2" bestFit="1" customWidth="1"/>
    <col min="8223" max="8223" width="15.28515625" style="2" customWidth="1"/>
    <col min="8224" max="8224" width="9.140625" style="2"/>
    <col min="8225" max="8225" width="20.28515625" style="2" customWidth="1"/>
    <col min="8226" max="8228" width="9.140625" style="2"/>
    <col min="8229" max="8229" width="14.140625" style="2" bestFit="1" customWidth="1"/>
    <col min="8230" max="8230" width="11.85546875" style="2" bestFit="1" customWidth="1"/>
    <col min="8231" max="8231" width="12.85546875" style="2" bestFit="1" customWidth="1"/>
    <col min="8232" max="8453" width="9.140625" style="2"/>
    <col min="8454" max="8454" width="26.7109375" style="2" bestFit="1" customWidth="1"/>
    <col min="8455" max="8455" width="13.7109375" style="2" bestFit="1" customWidth="1"/>
    <col min="8456" max="8456" width="26.42578125" style="2" bestFit="1" customWidth="1"/>
    <col min="8457" max="8457" width="11.5703125" style="2" customWidth="1"/>
    <col min="8458" max="8462" width="14.28515625" style="2" customWidth="1"/>
    <col min="8463" max="8463" width="9.5703125" style="2" customWidth="1"/>
    <col min="8464" max="8464" width="15.28515625" style="2" customWidth="1"/>
    <col min="8465" max="8468" width="14.28515625" style="2" customWidth="1"/>
    <col min="8469" max="8469" width="9.140625" style="2"/>
    <col min="8470" max="8472" width="14.28515625" style="2" bestFit="1" customWidth="1"/>
    <col min="8473" max="8473" width="14.28515625" style="2" customWidth="1"/>
    <col min="8474" max="8474" width="9.140625" style="2"/>
    <col min="8475" max="8477" width="15.28515625" style="2" bestFit="1" customWidth="1"/>
    <col min="8478" max="8478" width="16.42578125" style="2" bestFit="1" customWidth="1"/>
    <col min="8479" max="8479" width="15.28515625" style="2" customWidth="1"/>
    <col min="8480" max="8480" width="9.140625" style="2"/>
    <col min="8481" max="8481" width="20.28515625" style="2" customWidth="1"/>
    <col min="8482" max="8484" width="9.140625" style="2"/>
    <col min="8485" max="8485" width="14.140625" style="2" bestFit="1" customWidth="1"/>
    <col min="8486" max="8486" width="11.85546875" style="2" bestFit="1" customWidth="1"/>
    <col min="8487" max="8487" width="12.85546875" style="2" bestFit="1" customWidth="1"/>
    <col min="8488" max="8709" width="9.140625" style="2"/>
    <col min="8710" max="8710" width="26.7109375" style="2" bestFit="1" customWidth="1"/>
    <col min="8711" max="8711" width="13.7109375" style="2" bestFit="1" customWidth="1"/>
    <col min="8712" max="8712" width="26.42578125" style="2" bestFit="1" customWidth="1"/>
    <col min="8713" max="8713" width="11.5703125" style="2" customWidth="1"/>
    <col min="8714" max="8718" width="14.28515625" style="2" customWidth="1"/>
    <col min="8719" max="8719" width="9.5703125" style="2" customWidth="1"/>
    <col min="8720" max="8720" width="15.28515625" style="2" customWidth="1"/>
    <col min="8721" max="8724" width="14.28515625" style="2" customWidth="1"/>
    <col min="8725" max="8725" width="9.140625" style="2"/>
    <col min="8726" max="8728" width="14.28515625" style="2" bestFit="1" customWidth="1"/>
    <col min="8729" max="8729" width="14.28515625" style="2" customWidth="1"/>
    <col min="8730" max="8730" width="9.140625" style="2"/>
    <col min="8731" max="8733" width="15.28515625" style="2" bestFit="1" customWidth="1"/>
    <col min="8734" max="8734" width="16.42578125" style="2" bestFit="1" customWidth="1"/>
    <col min="8735" max="8735" width="15.28515625" style="2" customWidth="1"/>
    <col min="8736" max="8736" width="9.140625" style="2"/>
    <col min="8737" max="8737" width="20.28515625" style="2" customWidth="1"/>
    <col min="8738" max="8740" width="9.140625" style="2"/>
    <col min="8741" max="8741" width="14.140625" style="2" bestFit="1" customWidth="1"/>
    <col min="8742" max="8742" width="11.85546875" style="2" bestFit="1" customWidth="1"/>
    <col min="8743" max="8743" width="12.85546875" style="2" bestFit="1" customWidth="1"/>
    <col min="8744" max="8965" width="9.140625" style="2"/>
    <col min="8966" max="8966" width="26.7109375" style="2" bestFit="1" customWidth="1"/>
    <col min="8967" max="8967" width="13.7109375" style="2" bestFit="1" customWidth="1"/>
    <col min="8968" max="8968" width="26.42578125" style="2" bestFit="1" customWidth="1"/>
    <col min="8969" max="8969" width="11.5703125" style="2" customWidth="1"/>
    <col min="8970" max="8974" width="14.28515625" style="2" customWidth="1"/>
    <col min="8975" max="8975" width="9.5703125" style="2" customWidth="1"/>
    <col min="8976" max="8976" width="15.28515625" style="2" customWidth="1"/>
    <col min="8977" max="8980" width="14.28515625" style="2" customWidth="1"/>
    <col min="8981" max="8981" width="9.140625" style="2"/>
    <col min="8982" max="8984" width="14.28515625" style="2" bestFit="1" customWidth="1"/>
    <col min="8985" max="8985" width="14.28515625" style="2" customWidth="1"/>
    <col min="8986" max="8986" width="9.140625" style="2"/>
    <col min="8987" max="8989" width="15.28515625" style="2" bestFit="1" customWidth="1"/>
    <col min="8990" max="8990" width="16.42578125" style="2" bestFit="1" customWidth="1"/>
    <col min="8991" max="8991" width="15.28515625" style="2" customWidth="1"/>
    <col min="8992" max="8992" width="9.140625" style="2"/>
    <col min="8993" max="8993" width="20.28515625" style="2" customWidth="1"/>
    <col min="8994" max="8996" width="9.140625" style="2"/>
    <col min="8997" max="8997" width="14.140625" style="2" bestFit="1" customWidth="1"/>
    <col min="8998" max="8998" width="11.85546875" style="2" bestFit="1" customWidth="1"/>
    <col min="8999" max="8999" width="12.85546875" style="2" bestFit="1" customWidth="1"/>
    <col min="9000" max="9221" width="9.140625" style="2"/>
    <col min="9222" max="9222" width="26.7109375" style="2" bestFit="1" customWidth="1"/>
    <col min="9223" max="9223" width="13.7109375" style="2" bestFit="1" customWidth="1"/>
    <col min="9224" max="9224" width="26.42578125" style="2" bestFit="1" customWidth="1"/>
    <col min="9225" max="9225" width="11.5703125" style="2" customWidth="1"/>
    <col min="9226" max="9230" width="14.28515625" style="2" customWidth="1"/>
    <col min="9231" max="9231" width="9.5703125" style="2" customWidth="1"/>
    <col min="9232" max="9232" width="15.28515625" style="2" customWidth="1"/>
    <col min="9233" max="9236" width="14.28515625" style="2" customWidth="1"/>
    <col min="9237" max="9237" width="9.140625" style="2"/>
    <col min="9238" max="9240" width="14.28515625" style="2" bestFit="1" customWidth="1"/>
    <col min="9241" max="9241" width="14.28515625" style="2" customWidth="1"/>
    <col min="9242" max="9242" width="9.140625" style="2"/>
    <col min="9243" max="9245" width="15.28515625" style="2" bestFit="1" customWidth="1"/>
    <col min="9246" max="9246" width="16.42578125" style="2" bestFit="1" customWidth="1"/>
    <col min="9247" max="9247" width="15.28515625" style="2" customWidth="1"/>
    <col min="9248" max="9248" width="9.140625" style="2"/>
    <col min="9249" max="9249" width="20.28515625" style="2" customWidth="1"/>
    <col min="9250" max="9252" width="9.140625" style="2"/>
    <col min="9253" max="9253" width="14.140625" style="2" bestFit="1" customWidth="1"/>
    <col min="9254" max="9254" width="11.85546875" style="2" bestFit="1" customWidth="1"/>
    <col min="9255" max="9255" width="12.85546875" style="2" bestFit="1" customWidth="1"/>
    <col min="9256" max="9477" width="9.140625" style="2"/>
    <col min="9478" max="9478" width="26.7109375" style="2" bestFit="1" customWidth="1"/>
    <col min="9479" max="9479" width="13.7109375" style="2" bestFit="1" customWidth="1"/>
    <col min="9480" max="9480" width="26.42578125" style="2" bestFit="1" customWidth="1"/>
    <col min="9481" max="9481" width="11.5703125" style="2" customWidth="1"/>
    <col min="9482" max="9486" width="14.28515625" style="2" customWidth="1"/>
    <col min="9487" max="9487" width="9.5703125" style="2" customWidth="1"/>
    <col min="9488" max="9488" width="15.28515625" style="2" customWidth="1"/>
    <col min="9489" max="9492" width="14.28515625" style="2" customWidth="1"/>
    <col min="9493" max="9493" width="9.140625" style="2"/>
    <col min="9494" max="9496" width="14.28515625" style="2" bestFit="1" customWidth="1"/>
    <col min="9497" max="9497" width="14.28515625" style="2" customWidth="1"/>
    <col min="9498" max="9498" width="9.140625" style="2"/>
    <col min="9499" max="9501" width="15.28515625" style="2" bestFit="1" customWidth="1"/>
    <col min="9502" max="9502" width="16.42578125" style="2" bestFit="1" customWidth="1"/>
    <col min="9503" max="9503" width="15.28515625" style="2" customWidth="1"/>
    <col min="9504" max="9504" width="9.140625" style="2"/>
    <col min="9505" max="9505" width="20.28515625" style="2" customWidth="1"/>
    <col min="9506" max="9508" width="9.140625" style="2"/>
    <col min="9509" max="9509" width="14.140625" style="2" bestFit="1" customWidth="1"/>
    <col min="9510" max="9510" width="11.85546875" style="2" bestFit="1" customWidth="1"/>
    <col min="9511" max="9511" width="12.85546875" style="2" bestFit="1" customWidth="1"/>
    <col min="9512" max="9733" width="9.140625" style="2"/>
    <col min="9734" max="9734" width="26.7109375" style="2" bestFit="1" customWidth="1"/>
    <col min="9735" max="9735" width="13.7109375" style="2" bestFit="1" customWidth="1"/>
    <col min="9736" max="9736" width="26.42578125" style="2" bestFit="1" customWidth="1"/>
    <col min="9737" max="9737" width="11.5703125" style="2" customWidth="1"/>
    <col min="9738" max="9742" width="14.28515625" style="2" customWidth="1"/>
    <col min="9743" max="9743" width="9.5703125" style="2" customWidth="1"/>
    <col min="9744" max="9744" width="15.28515625" style="2" customWidth="1"/>
    <col min="9745" max="9748" width="14.28515625" style="2" customWidth="1"/>
    <col min="9749" max="9749" width="9.140625" style="2"/>
    <col min="9750" max="9752" width="14.28515625" style="2" bestFit="1" customWidth="1"/>
    <col min="9753" max="9753" width="14.28515625" style="2" customWidth="1"/>
    <col min="9754" max="9754" width="9.140625" style="2"/>
    <col min="9755" max="9757" width="15.28515625" style="2" bestFit="1" customWidth="1"/>
    <col min="9758" max="9758" width="16.42578125" style="2" bestFit="1" customWidth="1"/>
    <col min="9759" max="9759" width="15.28515625" style="2" customWidth="1"/>
    <col min="9760" max="9760" width="9.140625" style="2"/>
    <col min="9761" max="9761" width="20.28515625" style="2" customWidth="1"/>
    <col min="9762" max="9764" width="9.140625" style="2"/>
    <col min="9765" max="9765" width="14.140625" style="2" bestFit="1" customWidth="1"/>
    <col min="9766" max="9766" width="11.85546875" style="2" bestFit="1" customWidth="1"/>
    <col min="9767" max="9767" width="12.85546875" style="2" bestFit="1" customWidth="1"/>
    <col min="9768" max="9989" width="9.140625" style="2"/>
    <col min="9990" max="9990" width="26.7109375" style="2" bestFit="1" customWidth="1"/>
    <col min="9991" max="9991" width="13.7109375" style="2" bestFit="1" customWidth="1"/>
    <col min="9992" max="9992" width="26.42578125" style="2" bestFit="1" customWidth="1"/>
    <col min="9993" max="9993" width="11.5703125" style="2" customWidth="1"/>
    <col min="9994" max="9998" width="14.28515625" style="2" customWidth="1"/>
    <col min="9999" max="9999" width="9.5703125" style="2" customWidth="1"/>
    <col min="10000" max="10000" width="15.28515625" style="2" customWidth="1"/>
    <col min="10001" max="10004" width="14.28515625" style="2" customWidth="1"/>
    <col min="10005" max="10005" width="9.140625" style="2"/>
    <col min="10006" max="10008" width="14.28515625" style="2" bestFit="1" customWidth="1"/>
    <col min="10009" max="10009" width="14.28515625" style="2" customWidth="1"/>
    <col min="10010" max="10010" width="9.140625" style="2"/>
    <col min="10011" max="10013" width="15.28515625" style="2" bestFit="1" customWidth="1"/>
    <col min="10014" max="10014" width="16.42578125" style="2" bestFit="1" customWidth="1"/>
    <col min="10015" max="10015" width="15.28515625" style="2" customWidth="1"/>
    <col min="10016" max="10016" width="9.140625" style="2"/>
    <col min="10017" max="10017" width="20.28515625" style="2" customWidth="1"/>
    <col min="10018" max="10020" width="9.140625" style="2"/>
    <col min="10021" max="10021" width="14.140625" style="2" bestFit="1" customWidth="1"/>
    <col min="10022" max="10022" width="11.85546875" style="2" bestFit="1" customWidth="1"/>
    <col min="10023" max="10023" width="12.85546875" style="2" bestFit="1" customWidth="1"/>
    <col min="10024" max="10245" width="9.140625" style="2"/>
    <col min="10246" max="10246" width="26.7109375" style="2" bestFit="1" customWidth="1"/>
    <col min="10247" max="10247" width="13.7109375" style="2" bestFit="1" customWidth="1"/>
    <col min="10248" max="10248" width="26.42578125" style="2" bestFit="1" customWidth="1"/>
    <col min="10249" max="10249" width="11.5703125" style="2" customWidth="1"/>
    <col min="10250" max="10254" width="14.28515625" style="2" customWidth="1"/>
    <col min="10255" max="10255" width="9.5703125" style="2" customWidth="1"/>
    <col min="10256" max="10256" width="15.28515625" style="2" customWidth="1"/>
    <col min="10257" max="10260" width="14.28515625" style="2" customWidth="1"/>
    <col min="10261" max="10261" width="9.140625" style="2"/>
    <col min="10262" max="10264" width="14.28515625" style="2" bestFit="1" customWidth="1"/>
    <col min="10265" max="10265" width="14.28515625" style="2" customWidth="1"/>
    <col min="10266" max="10266" width="9.140625" style="2"/>
    <col min="10267" max="10269" width="15.28515625" style="2" bestFit="1" customWidth="1"/>
    <col min="10270" max="10270" width="16.42578125" style="2" bestFit="1" customWidth="1"/>
    <col min="10271" max="10271" width="15.28515625" style="2" customWidth="1"/>
    <col min="10272" max="10272" width="9.140625" style="2"/>
    <col min="10273" max="10273" width="20.28515625" style="2" customWidth="1"/>
    <col min="10274" max="10276" width="9.140625" style="2"/>
    <col min="10277" max="10277" width="14.140625" style="2" bestFit="1" customWidth="1"/>
    <col min="10278" max="10278" width="11.85546875" style="2" bestFit="1" customWidth="1"/>
    <col min="10279" max="10279" width="12.85546875" style="2" bestFit="1" customWidth="1"/>
    <col min="10280" max="10501" width="9.140625" style="2"/>
    <col min="10502" max="10502" width="26.7109375" style="2" bestFit="1" customWidth="1"/>
    <col min="10503" max="10503" width="13.7109375" style="2" bestFit="1" customWidth="1"/>
    <col min="10504" max="10504" width="26.42578125" style="2" bestFit="1" customWidth="1"/>
    <col min="10505" max="10505" width="11.5703125" style="2" customWidth="1"/>
    <col min="10506" max="10510" width="14.28515625" style="2" customWidth="1"/>
    <col min="10511" max="10511" width="9.5703125" style="2" customWidth="1"/>
    <col min="10512" max="10512" width="15.28515625" style="2" customWidth="1"/>
    <col min="10513" max="10516" width="14.28515625" style="2" customWidth="1"/>
    <col min="10517" max="10517" width="9.140625" style="2"/>
    <col min="10518" max="10520" width="14.28515625" style="2" bestFit="1" customWidth="1"/>
    <col min="10521" max="10521" width="14.28515625" style="2" customWidth="1"/>
    <col min="10522" max="10522" width="9.140625" style="2"/>
    <col min="10523" max="10525" width="15.28515625" style="2" bestFit="1" customWidth="1"/>
    <col min="10526" max="10526" width="16.42578125" style="2" bestFit="1" customWidth="1"/>
    <col min="10527" max="10527" width="15.28515625" style="2" customWidth="1"/>
    <col min="10528" max="10528" width="9.140625" style="2"/>
    <col min="10529" max="10529" width="20.28515625" style="2" customWidth="1"/>
    <col min="10530" max="10532" width="9.140625" style="2"/>
    <col min="10533" max="10533" width="14.140625" style="2" bestFit="1" customWidth="1"/>
    <col min="10534" max="10534" width="11.85546875" style="2" bestFit="1" customWidth="1"/>
    <col min="10535" max="10535" width="12.85546875" style="2" bestFit="1" customWidth="1"/>
    <col min="10536" max="10757" width="9.140625" style="2"/>
    <col min="10758" max="10758" width="26.7109375" style="2" bestFit="1" customWidth="1"/>
    <col min="10759" max="10759" width="13.7109375" style="2" bestFit="1" customWidth="1"/>
    <col min="10760" max="10760" width="26.42578125" style="2" bestFit="1" customWidth="1"/>
    <col min="10761" max="10761" width="11.5703125" style="2" customWidth="1"/>
    <col min="10762" max="10766" width="14.28515625" style="2" customWidth="1"/>
    <col min="10767" max="10767" width="9.5703125" style="2" customWidth="1"/>
    <col min="10768" max="10768" width="15.28515625" style="2" customWidth="1"/>
    <col min="10769" max="10772" width="14.28515625" style="2" customWidth="1"/>
    <col min="10773" max="10773" width="9.140625" style="2"/>
    <col min="10774" max="10776" width="14.28515625" style="2" bestFit="1" customWidth="1"/>
    <col min="10777" max="10777" width="14.28515625" style="2" customWidth="1"/>
    <col min="10778" max="10778" width="9.140625" style="2"/>
    <col min="10779" max="10781" width="15.28515625" style="2" bestFit="1" customWidth="1"/>
    <col min="10782" max="10782" width="16.42578125" style="2" bestFit="1" customWidth="1"/>
    <col min="10783" max="10783" width="15.28515625" style="2" customWidth="1"/>
    <col min="10784" max="10784" width="9.140625" style="2"/>
    <col min="10785" max="10785" width="20.28515625" style="2" customWidth="1"/>
    <col min="10786" max="10788" width="9.140625" style="2"/>
    <col min="10789" max="10789" width="14.140625" style="2" bestFit="1" customWidth="1"/>
    <col min="10790" max="10790" width="11.85546875" style="2" bestFit="1" customWidth="1"/>
    <col min="10791" max="10791" width="12.85546875" style="2" bestFit="1" customWidth="1"/>
    <col min="10792" max="11013" width="9.140625" style="2"/>
    <col min="11014" max="11014" width="26.7109375" style="2" bestFit="1" customWidth="1"/>
    <col min="11015" max="11015" width="13.7109375" style="2" bestFit="1" customWidth="1"/>
    <col min="11016" max="11016" width="26.42578125" style="2" bestFit="1" customWidth="1"/>
    <col min="11017" max="11017" width="11.5703125" style="2" customWidth="1"/>
    <col min="11018" max="11022" width="14.28515625" style="2" customWidth="1"/>
    <col min="11023" max="11023" width="9.5703125" style="2" customWidth="1"/>
    <col min="11024" max="11024" width="15.28515625" style="2" customWidth="1"/>
    <col min="11025" max="11028" width="14.28515625" style="2" customWidth="1"/>
    <col min="11029" max="11029" width="9.140625" style="2"/>
    <col min="11030" max="11032" width="14.28515625" style="2" bestFit="1" customWidth="1"/>
    <col min="11033" max="11033" width="14.28515625" style="2" customWidth="1"/>
    <col min="11034" max="11034" width="9.140625" style="2"/>
    <col min="11035" max="11037" width="15.28515625" style="2" bestFit="1" customWidth="1"/>
    <col min="11038" max="11038" width="16.42578125" style="2" bestFit="1" customWidth="1"/>
    <col min="11039" max="11039" width="15.28515625" style="2" customWidth="1"/>
    <col min="11040" max="11040" width="9.140625" style="2"/>
    <col min="11041" max="11041" width="20.28515625" style="2" customWidth="1"/>
    <col min="11042" max="11044" width="9.140625" style="2"/>
    <col min="11045" max="11045" width="14.140625" style="2" bestFit="1" customWidth="1"/>
    <col min="11046" max="11046" width="11.85546875" style="2" bestFit="1" customWidth="1"/>
    <col min="11047" max="11047" width="12.85546875" style="2" bestFit="1" customWidth="1"/>
    <col min="11048" max="11269" width="9.140625" style="2"/>
    <col min="11270" max="11270" width="26.7109375" style="2" bestFit="1" customWidth="1"/>
    <col min="11271" max="11271" width="13.7109375" style="2" bestFit="1" customWidth="1"/>
    <col min="11272" max="11272" width="26.42578125" style="2" bestFit="1" customWidth="1"/>
    <col min="11273" max="11273" width="11.5703125" style="2" customWidth="1"/>
    <col min="11274" max="11278" width="14.28515625" style="2" customWidth="1"/>
    <col min="11279" max="11279" width="9.5703125" style="2" customWidth="1"/>
    <col min="11280" max="11280" width="15.28515625" style="2" customWidth="1"/>
    <col min="11281" max="11284" width="14.28515625" style="2" customWidth="1"/>
    <col min="11285" max="11285" width="9.140625" style="2"/>
    <col min="11286" max="11288" width="14.28515625" style="2" bestFit="1" customWidth="1"/>
    <col min="11289" max="11289" width="14.28515625" style="2" customWidth="1"/>
    <col min="11290" max="11290" width="9.140625" style="2"/>
    <col min="11291" max="11293" width="15.28515625" style="2" bestFit="1" customWidth="1"/>
    <col min="11294" max="11294" width="16.42578125" style="2" bestFit="1" customWidth="1"/>
    <col min="11295" max="11295" width="15.28515625" style="2" customWidth="1"/>
    <col min="11296" max="11296" width="9.140625" style="2"/>
    <col min="11297" max="11297" width="20.28515625" style="2" customWidth="1"/>
    <col min="11298" max="11300" width="9.140625" style="2"/>
    <col min="11301" max="11301" width="14.140625" style="2" bestFit="1" customWidth="1"/>
    <col min="11302" max="11302" width="11.85546875" style="2" bestFit="1" customWidth="1"/>
    <col min="11303" max="11303" width="12.85546875" style="2" bestFit="1" customWidth="1"/>
    <col min="11304" max="11525" width="9.140625" style="2"/>
    <col min="11526" max="11526" width="26.7109375" style="2" bestFit="1" customWidth="1"/>
    <col min="11527" max="11527" width="13.7109375" style="2" bestFit="1" customWidth="1"/>
    <col min="11528" max="11528" width="26.42578125" style="2" bestFit="1" customWidth="1"/>
    <col min="11529" max="11529" width="11.5703125" style="2" customWidth="1"/>
    <col min="11530" max="11534" width="14.28515625" style="2" customWidth="1"/>
    <col min="11535" max="11535" width="9.5703125" style="2" customWidth="1"/>
    <col min="11536" max="11536" width="15.28515625" style="2" customWidth="1"/>
    <col min="11537" max="11540" width="14.28515625" style="2" customWidth="1"/>
    <col min="11541" max="11541" width="9.140625" style="2"/>
    <col min="11542" max="11544" width="14.28515625" style="2" bestFit="1" customWidth="1"/>
    <col min="11545" max="11545" width="14.28515625" style="2" customWidth="1"/>
    <col min="11546" max="11546" width="9.140625" style="2"/>
    <col min="11547" max="11549" width="15.28515625" style="2" bestFit="1" customWidth="1"/>
    <col min="11550" max="11550" width="16.42578125" style="2" bestFit="1" customWidth="1"/>
    <col min="11551" max="11551" width="15.28515625" style="2" customWidth="1"/>
    <col min="11552" max="11552" width="9.140625" style="2"/>
    <col min="11553" max="11553" width="20.28515625" style="2" customWidth="1"/>
    <col min="11554" max="11556" width="9.140625" style="2"/>
    <col min="11557" max="11557" width="14.140625" style="2" bestFit="1" customWidth="1"/>
    <col min="11558" max="11558" width="11.85546875" style="2" bestFit="1" customWidth="1"/>
    <col min="11559" max="11559" width="12.85546875" style="2" bestFit="1" customWidth="1"/>
    <col min="11560" max="11781" width="9.140625" style="2"/>
    <col min="11782" max="11782" width="26.7109375" style="2" bestFit="1" customWidth="1"/>
    <col min="11783" max="11783" width="13.7109375" style="2" bestFit="1" customWidth="1"/>
    <col min="11784" max="11784" width="26.42578125" style="2" bestFit="1" customWidth="1"/>
    <col min="11785" max="11785" width="11.5703125" style="2" customWidth="1"/>
    <col min="11786" max="11790" width="14.28515625" style="2" customWidth="1"/>
    <col min="11791" max="11791" width="9.5703125" style="2" customWidth="1"/>
    <col min="11792" max="11792" width="15.28515625" style="2" customWidth="1"/>
    <col min="11793" max="11796" width="14.28515625" style="2" customWidth="1"/>
    <col min="11797" max="11797" width="9.140625" style="2"/>
    <col min="11798" max="11800" width="14.28515625" style="2" bestFit="1" customWidth="1"/>
    <col min="11801" max="11801" width="14.28515625" style="2" customWidth="1"/>
    <col min="11802" max="11802" width="9.140625" style="2"/>
    <col min="11803" max="11805" width="15.28515625" style="2" bestFit="1" customWidth="1"/>
    <col min="11806" max="11806" width="16.42578125" style="2" bestFit="1" customWidth="1"/>
    <col min="11807" max="11807" width="15.28515625" style="2" customWidth="1"/>
    <col min="11808" max="11808" width="9.140625" style="2"/>
    <col min="11809" max="11809" width="20.28515625" style="2" customWidth="1"/>
    <col min="11810" max="11812" width="9.140625" style="2"/>
    <col min="11813" max="11813" width="14.140625" style="2" bestFit="1" customWidth="1"/>
    <col min="11814" max="11814" width="11.85546875" style="2" bestFit="1" customWidth="1"/>
    <col min="11815" max="11815" width="12.85546875" style="2" bestFit="1" customWidth="1"/>
    <col min="11816" max="12037" width="9.140625" style="2"/>
    <col min="12038" max="12038" width="26.7109375" style="2" bestFit="1" customWidth="1"/>
    <col min="12039" max="12039" width="13.7109375" style="2" bestFit="1" customWidth="1"/>
    <col min="12040" max="12040" width="26.42578125" style="2" bestFit="1" customWidth="1"/>
    <col min="12041" max="12041" width="11.5703125" style="2" customWidth="1"/>
    <col min="12042" max="12046" width="14.28515625" style="2" customWidth="1"/>
    <col min="12047" max="12047" width="9.5703125" style="2" customWidth="1"/>
    <col min="12048" max="12048" width="15.28515625" style="2" customWidth="1"/>
    <col min="12049" max="12052" width="14.28515625" style="2" customWidth="1"/>
    <col min="12053" max="12053" width="9.140625" style="2"/>
    <col min="12054" max="12056" width="14.28515625" style="2" bestFit="1" customWidth="1"/>
    <col min="12057" max="12057" width="14.28515625" style="2" customWidth="1"/>
    <col min="12058" max="12058" width="9.140625" style="2"/>
    <col min="12059" max="12061" width="15.28515625" style="2" bestFit="1" customWidth="1"/>
    <col min="12062" max="12062" width="16.42578125" style="2" bestFit="1" customWidth="1"/>
    <col min="12063" max="12063" width="15.28515625" style="2" customWidth="1"/>
    <col min="12064" max="12064" width="9.140625" style="2"/>
    <col min="12065" max="12065" width="20.28515625" style="2" customWidth="1"/>
    <col min="12066" max="12068" width="9.140625" style="2"/>
    <col min="12069" max="12069" width="14.140625" style="2" bestFit="1" customWidth="1"/>
    <col min="12070" max="12070" width="11.85546875" style="2" bestFit="1" customWidth="1"/>
    <col min="12071" max="12071" width="12.85546875" style="2" bestFit="1" customWidth="1"/>
    <col min="12072" max="12293" width="9.140625" style="2"/>
    <col min="12294" max="12294" width="26.7109375" style="2" bestFit="1" customWidth="1"/>
    <col min="12295" max="12295" width="13.7109375" style="2" bestFit="1" customWidth="1"/>
    <col min="12296" max="12296" width="26.42578125" style="2" bestFit="1" customWidth="1"/>
    <col min="12297" max="12297" width="11.5703125" style="2" customWidth="1"/>
    <col min="12298" max="12302" width="14.28515625" style="2" customWidth="1"/>
    <col min="12303" max="12303" width="9.5703125" style="2" customWidth="1"/>
    <col min="12304" max="12304" width="15.28515625" style="2" customWidth="1"/>
    <col min="12305" max="12308" width="14.28515625" style="2" customWidth="1"/>
    <col min="12309" max="12309" width="9.140625" style="2"/>
    <col min="12310" max="12312" width="14.28515625" style="2" bestFit="1" customWidth="1"/>
    <col min="12313" max="12313" width="14.28515625" style="2" customWidth="1"/>
    <col min="12314" max="12314" width="9.140625" style="2"/>
    <col min="12315" max="12317" width="15.28515625" style="2" bestFit="1" customWidth="1"/>
    <col min="12318" max="12318" width="16.42578125" style="2" bestFit="1" customWidth="1"/>
    <col min="12319" max="12319" width="15.28515625" style="2" customWidth="1"/>
    <col min="12320" max="12320" width="9.140625" style="2"/>
    <col min="12321" max="12321" width="20.28515625" style="2" customWidth="1"/>
    <col min="12322" max="12324" width="9.140625" style="2"/>
    <col min="12325" max="12325" width="14.140625" style="2" bestFit="1" customWidth="1"/>
    <col min="12326" max="12326" width="11.85546875" style="2" bestFit="1" customWidth="1"/>
    <col min="12327" max="12327" width="12.85546875" style="2" bestFit="1" customWidth="1"/>
    <col min="12328" max="12549" width="9.140625" style="2"/>
    <col min="12550" max="12550" width="26.7109375" style="2" bestFit="1" customWidth="1"/>
    <col min="12551" max="12551" width="13.7109375" style="2" bestFit="1" customWidth="1"/>
    <col min="12552" max="12552" width="26.42578125" style="2" bestFit="1" customWidth="1"/>
    <col min="12553" max="12553" width="11.5703125" style="2" customWidth="1"/>
    <col min="12554" max="12558" width="14.28515625" style="2" customWidth="1"/>
    <col min="12559" max="12559" width="9.5703125" style="2" customWidth="1"/>
    <col min="12560" max="12560" width="15.28515625" style="2" customWidth="1"/>
    <col min="12561" max="12564" width="14.28515625" style="2" customWidth="1"/>
    <col min="12565" max="12565" width="9.140625" style="2"/>
    <col min="12566" max="12568" width="14.28515625" style="2" bestFit="1" customWidth="1"/>
    <col min="12569" max="12569" width="14.28515625" style="2" customWidth="1"/>
    <col min="12570" max="12570" width="9.140625" style="2"/>
    <col min="12571" max="12573" width="15.28515625" style="2" bestFit="1" customWidth="1"/>
    <col min="12574" max="12574" width="16.42578125" style="2" bestFit="1" customWidth="1"/>
    <col min="12575" max="12575" width="15.28515625" style="2" customWidth="1"/>
    <col min="12576" max="12576" width="9.140625" style="2"/>
    <col min="12577" max="12577" width="20.28515625" style="2" customWidth="1"/>
    <col min="12578" max="12580" width="9.140625" style="2"/>
    <col min="12581" max="12581" width="14.140625" style="2" bestFit="1" customWidth="1"/>
    <col min="12582" max="12582" width="11.85546875" style="2" bestFit="1" customWidth="1"/>
    <col min="12583" max="12583" width="12.85546875" style="2" bestFit="1" customWidth="1"/>
    <col min="12584" max="12805" width="9.140625" style="2"/>
    <col min="12806" max="12806" width="26.7109375" style="2" bestFit="1" customWidth="1"/>
    <col min="12807" max="12807" width="13.7109375" style="2" bestFit="1" customWidth="1"/>
    <col min="12808" max="12808" width="26.42578125" style="2" bestFit="1" customWidth="1"/>
    <col min="12809" max="12809" width="11.5703125" style="2" customWidth="1"/>
    <col min="12810" max="12814" width="14.28515625" style="2" customWidth="1"/>
    <col min="12815" max="12815" width="9.5703125" style="2" customWidth="1"/>
    <col min="12816" max="12816" width="15.28515625" style="2" customWidth="1"/>
    <col min="12817" max="12820" width="14.28515625" style="2" customWidth="1"/>
    <col min="12821" max="12821" width="9.140625" style="2"/>
    <col min="12822" max="12824" width="14.28515625" style="2" bestFit="1" customWidth="1"/>
    <col min="12825" max="12825" width="14.28515625" style="2" customWidth="1"/>
    <col min="12826" max="12826" width="9.140625" style="2"/>
    <col min="12827" max="12829" width="15.28515625" style="2" bestFit="1" customWidth="1"/>
    <col min="12830" max="12830" width="16.42578125" style="2" bestFit="1" customWidth="1"/>
    <col min="12831" max="12831" width="15.28515625" style="2" customWidth="1"/>
    <col min="12832" max="12832" width="9.140625" style="2"/>
    <col min="12833" max="12833" width="20.28515625" style="2" customWidth="1"/>
    <col min="12834" max="12836" width="9.140625" style="2"/>
    <col min="12837" max="12837" width="14.140625" style="2" bestFit="1" customWidth="1"/>
    <col min="12838" max="12838" width="11.85546875" style="2" bestFit="1" customWidth="1"/>
    <col min="12839" max="12839" width="12.85546875" style="2" bestFit="1" customWidth="1"/>
    <col min="12840" max="13061" width="9.140625" style="2"/>
    <col min="13062" max="13062" width="26.7109375" style="2" bestFit="1" customWidth="1"/>
    <col min="13063" max="13063" width="13.7109375" style="2" bestFit="1" customWidth="1"/>
    <col min="13064" max="13064" width="26.42578125" style="2" bestFit="1" customWidth="1"/>
    <col min="13065" max="13065" width="11.5703125" style="2" customWidth="1"/>
    <col min="13066" max="13070" width="14.28515625" style="2" customWidth="1"/>
    <col min="13071" max="13071" width="9.5703125" style="2" customWidth="1"/>
    <col min="13072" max="13072" width="15.28515625" style="2" customWidth="1"/>
    <col min="13073" max="13076" width="14.28515625" style="2" customWidth="1"/>
    <col min="13077" max="13077" width="9.140625" style="2"/>
    <col min="13078" max="13080" width="14.28515625" style="2" bestFit="1" customWidth="1"/>
    <col min="13081" max="13081" width="14.28515625" style="2" customWidth="1"/>
    <col min="13082" max="13082" width="9.140625" style="2"/>
    <col min="13083" max="13085" width="15.28515625" style="2" bestFit="1" customWidth="1"/>
    <col min="13086" max="13086" width="16.42578125" style="2" bestFit="1" customWidth="1"/>
    <col min="13087" max="13087" width="15.28515625" style="2" customWidth="1"/>
    <col min="13088" max="13088" width="9.140625" style="2"/>
    <col min="13089" max="13089" width="20.28515625" style="2" customWidth="1"/>
    <col min="13090" max="13092" width="9.140625" style="2"/>
    <col min="13093" max="13093" width="14.140625" style="2" bestFit="1" customWidth="1"/>
    <col min="13094" max="13094" width="11.85546875" style="2" bestFit="1" customWidth="1"/>
    <col min="13095" max="13095" width="12.85546875" style="2" bestFit="1" customWidth="1"/>
    <col min="13096" max="13317" width="9.140625" style="2"/>
    <col min="13318" max="13318" width="26.7109375" style="2" bestFit="1" customWidth="1"/>
    <col min="13319" max="13319" width="13.7109375" style="2" bestFit="1" customWidth="1"/>
    <col min="13320" max="13320" width="26.42578125" style="2" bestFit="1" customWidth="1"/>
    <col min="13321" max="13321" width="11.5703125" style="2" customWidth="1"/>
    <col min="13322" max="13326" width="14.28515625" style="2" customWidth="1"/>
    <col min="13327" max="13327" width="9.5703125" style="2" customWidth="1"/>
    <col min="13328" max="13328" width="15.28515625" style="2" customWidth="1"/>
    <col min="13329" max="13332" width="14.28515625" style="2" customWidth="1"/>
    <col min="13333" max="13333" width="9.140625" style="2"/>
    <col min="13334" max="13336" width="14.28515625" style="2" bestFit="1" customWidth="1"/>
    <col min="13337" max="13337" width="14.28515625" style="2" customWidth="1"/>
    <col min="13338" max="13338" width="9.140625" style="2"/>
    <col min="13339" max="13341" width="15.28515625" style="2" bestFit="1" customWidth="1"/>
    <col min="13342" max="13342" width="16.42578125" style="2" bestFit="1" customWidth="1"/>
    <col min="13343" max="13343" width="15.28515625" style="2" customWidth="1"/>
    <col min="13344" max="13344" width="9.140625" style="2"/>
    <col min="13345" max="13345" width="20.28515625" style="2" customWidth="1"/>
    <col min="13346" max="13348" width="9.140625" style="2"/>
    <col min="13349" max="13349" width="14.140625" style="2" bestFit="1" customWidth="1"/>
    <col min="13350" max="13350" width="11.85546875" style="2" bestFit="1" customWidth="1"/>
    <col min="13351" max="13351" width="12.85546875" style="2" bestFit="1" customWidth="1"/>
    <col min="13352" max="13573" width="9.140625" style="2"/>
    <col min="13574" max="13574" width="26.7109375" style="2" bestFit="1" customWidth="1"/>
    <col min="13575" max="13575" width="13.7109375" style="2" bestFit="1" customWidth="1"/>
    <col min="13576" max="13576" width="26.42578125" style="2" bestFit="1" customWidth="1"/>
    <col min="13577" max="13577" width="11.5703125" style="2" customWidth="1"/>
    <col min="13578" max="13582" width="14.28515625" style="2" customWidth="1"/>
    <col min="13583" max="13583" width="9.5703125" style="2" customWidth="1"/>
    <col min="13584" max="13584" width="15.28515625" style="2" customWidth="1"/>
    <col min="13585" max="13588" width="14.28515625" style="2" customWidth="1"/>
    <col min="13589" max="13589" width="9.140625" style="2"/>
    <col min="13590" max="13592" width="14.28515625" style="2" bestFit="1" customWidth="1"/>
    <col min="13593" max="13593" width="14.28515625" style="2" customWidth="1"/>
    <col min="13594" max="13594" width="9.140625" style="2"/>
    <col min="13595" max="13597" width="15.28515625" style="2" bestFit="1" customWidth="1"/>
    <col min="13598" max="13598" width="16.42578125" style="2" bestFit="1" customWidth="1"/>
    <col min="13599" max="13599" width="15.28515625" style="2" customWidth="1"/>
    <col min="13600" max="13600" width="9.140625" style="2"/>
    <col min="13601" max="13601" width="20.28515625" style="2" customWidth="1"/>
    <col min="13602" max="13604" width="9.140625" style="2"/>
    <col min="13605" max="13605" width="14.140625" style="2" bestFit="1" customWidth="1"/>
    <col min="13606" max="13606" width="11.85546875" style="2" bestFit="1" customWidth="1"/>
    <col min="13607" max="13607" width="12.85546875" style="2" bestFit="1" customWidth="1"/>
    <col min="13608" max="13829" width="9.140625" style="2"/>
    <col min="13830" max="13830" width="26.7109375" style="2" bestFit="1" customWidth="1"/>
    <col min="13831" max="13831" width="13.7109375" style="2" bestFit="1" customWidth="1"/>
    <col min="13832" max="13832" width="26.42578125" style="2" bestFit="1" customWidth="1"/>
    <col min="13833" max="13833" width="11.5703125" style="2" customWidth="1"/>
    <col min="13834" max="13838" width="14.28515625" style="2" customWidth="1"/>
    <col min="13839" max="13839" width="9.5703125" style="2" customWidth="1"/>
    <col min="13840" max="13840" width="15.28515625" style="2" customWidth="1"/>
    <col min="13841" max="13844" width="14.28515625" style="2" customWidth="1"/>
    <col min="13845" max="13845" width="9.140625" style="2"/>
    <col min="13846" max="13848" width="14.28515625" style="2" bestFit="1" customWidth="1"/>
    <col min="13849" max="13849" width="14.28515625" style="2" customWidth="1"/>
    <col min="13850" max="13850" width="9.140625" style="2"/>
    <col min="13851" max="13853" width="15.28515625" style="2" bestFit="1" customWidth="1"/>
    <col min="13854" max="13854" width="16.42578125" style="2" bestFit="1" customWidth="1"/>
    <col min="13855" max="13855" width="15.28515625" style="2" customWidth="1"/>
    <col min="13856" max="13856" width="9.140625" style="2"/>
    <col min="13857" max="13857" width="20.28515625" style="2" customWidth="1"/>
    <col min="13858" max="13860" width="9.140625" style="2"/>
    <col min="13861" max="13861" width="14.140625" style="2" bestFit="1" customWidth="1"/>
    <col min="13862" max="13862" width="11.85546875" style="2" bestFit="1" customWidth="1"/>
    <col min="13863" max="13863" width="12.85546875" style="2" bestFit="1" customWidth="1"/>
    <col min="13864" max="14085" width="9.140625" style="2"/>
    <col min="14086" max="14086" width="26.7109375" style="2" bestFit="1" customWidth="1"/>
    <col min="14087" max="14087" width="13.7109375" style="2" bestFit="1" customWidth="1"/>
    <col min="14088" max="14088" width="26.42578125" style="2" bestFit="1" customWidth="1"/>
    <col min="14089" max="14089" width="11.5703125" style="2" customWidth="1"/>
    <col min="14090" max="14094" width="14.28515625" style="2" customWidth="1"/>
    <col min="14095" max="14095" width="9.5703125" style="2" customWidth="1"/>
    <col min="14096" max="14096" width="15.28515625" style="2" customWidth="1"/>
    <col min="14097" max="14100" width="14.28515625" style="2" customWidth="1"/>
    <col min="14101" max="14101" width="9.140625" style="2"/>
    <col min="14102" max="14104" width="14.28515625" style="2" bestFit="1" customWidth="1"/>
    <col min="14105" max="14105" width="14.28515625" style="2" customWidth="1"/>
    <col min="14106" max="14106" width="9.140625" style="2"/>
    <col min="14107" max="14109" width="15.28515625" style="2" bestFit="1" customWidth="1"/>
    <col min="14110" max="14110" width="16.42578125" style="2" bestFit="1" customWidth="1"/>
    <col min="14111" max="14111" width="15.28515625" style="2" customWidth="1"/>
    <col min="14112" max="14112" width="9.140625" style="2"/>
    <col min="14113" max="14113" width="20.28515625" style="2" customWidth="1"/>
    <col min="14114" max="14116" width="9.140625" style="2"/>
    <col min="14117" max="14117" width="14.140625" style="2" bestFit="1" customWidth="1"/>
    <col min="14118" max="14118" width="11.85546875" style="2" bestFit="1" customWidth="1"/>
    <col min="14119" max="14119" width="12.85546875" style="2" bestFit="1" customWidth="1"/>
    <col min="14120" max="14341" width="9.140625" style="2"/>
    <col min="14342" max="14342" width="26.7109375" style="2" bestFit="1" customWidth="1"/>
    <col min="14343" max="14343" width="13.7109375" style="2" bestFit="1" customWidth="1"/>
    <col min="14344" max="14344" width="26.42578125" style="2" bestFit="1" customWidth="1"/>
    <col min="14345" max="14345" width="11.5703125" style="2" customWidth="1"/>
    <col min="14346" max="14350" width="14.28515625" style="2" customWidth="1"/>
    <col min="14351" max="14351" width="9.5703125" style="2" customWidth="1"/>
    <col min="14352" max="14352" width="15.28515625" style="2" customWidth="1"/>
    <col min="14353" max="14356" width="14.28515625" style="2" customWidth="1"/>
    <col min="14357" max="14357" width="9.140625" style="2"/>
    <col min="14358" max="14360" width="14.28515625" style="2" bestFit="1" customWidth="1"/>
    <col min="14361" max="14361" width="14.28515625" style="2" customWidth="1"/>
    <col min="14362" max="14362" width="9.140625" style="2"/>
    <col min="14363" max="14365" width="15.28515625" style="2" bestFit="1" customWidth="1"/>
    <col min="14366" max="14366" width="16.42578125" style="2" bestFit="1" customWidth="1"/>
    <col min="14367" max="14367" width="15.28515625" style="2" customWidth="1"/>
    <col min="14368" max="14368" width="9.140625" style="2"/>
    <col min="14369" max="14369" width="20.28515625" style="2" customWidth="1"/>
    <col min="14370" max="14372" width="9.140625" style="2"/>
    <col min="14373" max="14373" width="14.140625" style="2" bestFit="1" customWidth="1"/>
    <col min="14374" max="14374" width="11.85546875" style="2" bestFit="1" customWidth="1"/>
    <col min="14375" max="14375" width="12.85546875" style="2" bestFit="1" customWidth="1"/>
    <col min="14376" max="14597" width="9.140625" style="2"/>
    <col min="14598" max="14598" width="26.7109375" style="2" bestFit="1" customWidth="1"/>
    <col min="14599" max="14599" width="13.7109375" style="2" bestFit="1" customWidth="1"/>
    <col min="14600" max="14600" width="26.42578125" style="2" bestFit="1" customWidth="1"/>
    <col min="14601" max="14601" width="11.5703125" style="2" customWidth="1"/>
    <col min="14602" max="14606" width="14.28515625" style="2" customWidth="1"/>
    <col min="14607" max="14607" width="9.5703125" style="2" customWidth="1"/>
    <col min="14608" max="14608" width="15.28515625" style="2" customWidth="1"/>
    <col min="14609" max="14612" width="14.28515625" style="2" customWidth="1"/>
    <col min="14613" max="14613" width="9.140625" style="2"/>
    <col min="14614" max="14616" width="14.28515625" style="2" bestFit="1" customWidth="1"/>
    <col min="14617" max="14617" width="14.28515625" style="2" customWidth="1"/>
    <col min="14618" max="14618" width="9.140625" style="2"/>
    <col min="14619" max="14621" width="15.28515625" style="2" bestFit="1" customWidth="1"/>
    <col min="14622" max="14622" width="16.42578125" style="2" bestFit="1" customWidth="1"/>
    <col min="14623" max="14623" width="15.28515625" style="2" customWidth="1"/>
    <col min="14624" max="14624" width="9.140625" style="2"/>
    <col min="14625" max="14625" width="20.28515625" style="2" customWidth="1"/>
    <col min="14626" max="14628" width="9.140625" style="2"/>
    <col min="14629" max="14629" width="14.140625" style="2" bestFit="1" customWidth="1"/>
    <col min="14630" max="14630" width="11.85546875" style="2" bestFit="1" customWidth="1"/>
    <col min="14631" max="14631" width="12.85546875" style="2" bestFit="1" customWidth="1"/>
    <col min="14632" max="14853" width="9.140625" style="2"/>
    <col min="14854" max="14854" width="26.7109375" style="2" bestFit="1" customWidth="1"/>
    <col min="14855" max="14855" width="13.7109375" style="2" bestFit="1" customWidth="1"/>
    <col min="14856" max="14856" width="26.42578125" style="2" bestFit="1" customWidth="1"/>
    <col min="14857" max="14857" width="11.5703125" style="2" customWidth="1"/>
    <col min="14858" max="14862" width="14.28515625" style="2" customWidth="1"/>
    <col min="14863" max="14863" width="9.5703125" style="2" customWidth="1"/>
    <col min="14864" max="14864" width="15.28515625" style="2" customWidth="1"/>
    <col min="14865" max="14868" width="14.28515625" style="2" customWidth="1"/>
    <col min="14869" max="14869" width="9.140625" style="2"/>
    <col min="14870" max="14872" width="14.28515625" style="2" bestFit="1" customWidth="1"/>
    <col min="14873" max="14873" width="14.28515625" style="2" customWidth="1"/>
    <col min="14874" max="14874" width="9.140625" style="2"/>
    <col min="14875" max="14877" width="15.28515625" style="2" bestFit="1" customWidth="1"/>
    <col min="14878" max="14878" width="16.42578125" style="2" bestFit="1" customWidth="1"/>
    <col min="14879" max="14879" width="15.28515625" style="2" customWidth="1"/>
    <col min="14880" max="14880" width="9.140625" style="2"/>
    <col min="14881" max="14881" width="20.28515625" style="2" customWidth="1"/>
    <col min="14882" max="14884" width="9.140625" style="2"/>
    <col min="14885" max="14885" width="14.140625" style="2" bestFit="1" customWidth="1"/>
    <col min="14886" max="14886" width="11.85546875" style="2" bestFit="1" customWidth="1"/>
    <col min="14887" max="14887" width="12.85546875" style="2" bestFit="1" customWidth="1"/>
    <col min="14888" max="15109" width="9.140625" style="2"/>
    <col min="15110" max="15110" width="26.7109375" style="2" bestFit="1" customWidth="1"/>
    <col min="15111" max="15111" width="13.7109375" style="2" bestFit="1" customWidth="1"/>
    <col min="15112" max="15112" width="26.42578125" style="2" bestFit="1" customWidth="1"/>
    <col min="15113" max="15113" width="11.5703125" style="2" customWidth="1"/>
    <col min="15114" max="15118" width="14.28515625" style="2" customWidth="1"/>
    <col min="15119" max="15119" width="9.5703125" style="2" customWidth="1"/>
    <col min="15120" max="15120" width="15.28515625" style="2" customWidth="1"/>
    <col min="15121" max="15124" width="14.28515625" style="2" customWidth="1"/>
    <col min="15125" max="15125" width="9.140625" style="2"/>
    <col min="15126" max="15128" width="14.28515625" style="2" bestFit="1" customWidth="1"/>
    <col min="15129" max="15129" width="14.28515625" style="2" customWidth="1"/>
    <col min="15130" max="15130" width="9.140625" style="2"/>
    <col min="15131" max="15133" width="15.28515625" style="2" bestFit="1" customWidth="1"/>
    <col min="15134" max="15134" width="16.42578125" style="2" bestFit="1" customWidth="1"/>
    <col min="15135" max="15135" width="15.28515625" style="2" customWidth="1"/>
    <col min="15136" max="15136" width="9.140625" style="2"/>
    <col min="15137" max="15137" width="20.28515625" style="2" customWidth="1"/>
    <col min="15138" max="15140" width="9.140625" style="2"/>
    <col min="15141" max="15141" width="14.140625" style="2" bestFit="1" customWidth="1"/>
    <col min="15142" max="15142" width="11.85546875" style="2" bestFit="1" customWidth="1"/>
    <col min="15143" max="15143" width="12.85546875" style="2" bestFit="1" customWidth="1"/>
    <col min="15144" max="15365" width="9.140625" style="2"/>
    <col min="15366" max="15366" width="26.7109375" style="2" bestFit="1" customWidth="1"/>
    <col min="15367" max="15367" width="13.7109375" style="2" bestFit="1" customWidth="1"/>
    <col min="15368" max="15368" width="26.42578125" style="2" bestFit="1" customWidth="1"/>
    <col min="15369" max="15369" width="11.5703125" style="2" customWidth="1"/>
    <col min="15370" max="15374" width="14.28515625" style="2" customWidth="1"/>
    <col min="15375" max="15375" width="9.5703125" style="2" customWidth="1"/>
    <col min="15376" max="15376" width="15.28515625" style="2" customWidth="1"/>
    <col min="15377" max="15380" width="14.28515625" style="2" customWidth="1"/>
    <col min="15381" max="15381" width="9.140625" style="2"/>
    <col min="15382" max="15384" width="14.28515625" style="2" bestFit="1" customWidth="1"/>
    <col min="15385" max="15385" width="14.28515625" style="2" customWidth="1"/>
    <col min="15386" max="15386" width="9.140625" style="2"/>
    <col min="15387" max="15389" width="15.28515625" style="2" bestFit="1" customWidth="1"/>
    <col min="15390" max="15390" width="16.42578125" style="2" bestFit="1" customWidth="1"/>
    <col min="15391" max="15391" width="15.28515625" style="2" customWidth="1"/>
    <col min="15392" max="15392" width="9.140625" style="2"/>
    <col min="15393" max="15393" width="20.28515625" style="2" customWidth="1"/>
    <col min="15394" max="15396" width="9.140625" style="2"/>
    <col min="15397" max="15397" width="14.140625" style="2" bestFit="1" customWidth="1"/>
    <col min="15398" max="15398" width="11.85546875" style="2" bestFit="1" customWidth="1"/>
    <col min="15399" max="15399" width="12.85546875" style="2" bestFit="1" customWidth="1"/>
    <col min="15400" max="15621" width="9.140625" style="2"/>
    <col min="15622" max="15622" width="26.7109375" style="2" bestFit="1" customWidth="1"/>
    <col min="15623" max="15623" width="13.7109375" style="2" bestFit="1" customWidth="1"/>
    <col min="15624" max="15624" width="26.42578125" style="2" bestFit="1" customWidth="1"/>
    <col min="15625" max="15625" width="11.5703125" style="2" customWidth="1"/>
    <col min="15626" max="15630" width="14.28515625" style="2" customWidth="1"/>
    <col min="15631" max="15631" width="9.5703125" style="2" customWidth="1"/>
    <col min="15632" max="15632" width="15.28515625" style="2" customWidth="1"/>
    <col min="15633" max="15636" width="14.28515625" style="2" customWidth="1"/>
    <col min="15637" max="15637" width="9.140625" style="2"/>
    <col min="15638" max="15640" width="14.28515625" style="2" bestFit="1" customWidth="1"/>
    <col min="15641" max="15641" width="14.28515625" style="2" customWidth="1"/>
    <col min="15642" max="15642" width="9.140625" style="2"/>
    <col min="15643" max="15645" width="15.28515625" style="2" bestFit="1" customWidth="1"/>
    <col min="15646" max="15646" width="16.42578125" style="2" bestFit="1" customWidth="1"/>
    <col min="15647" max="15647" width="15.28515625" style="2" customWidth="1"/>
    <col min="15648" max="15648" width="9.140625" style="2"/>
    <col min="15649" max="15649" width="20.28515625" style="2" customWidth="1"/>
    <col min="15650" max="15652" width="9.140625" style="2"/>
    <col min="15653" max="15653" width="14.140625" style="2" bestFit="1" customWidth="1"/>
    <col min="15654" max="15654" width="11.85546875" style="2" bestFit="1" customWidth="1"/>
    <col min="15655" max="15655" width="12.85546875" style="2" bestFit="1" customWidth="1"/>
    <col min="15656" max="15877" width="9.140625" style="2"/>
    <col min="15878" max="15878" width="26.7109375" style="2" bestFit="1" customWidth="1"/>
    <col min="15879" max="15879" width="13.7109375" style="2" bestFit="1" customWidth="1"/>
    <col min="15880" max="15880" width="26.42578125" style="2" bestFit="1" customWidth="1"/>
    <col min="15881" max="15881" width="11.5703125" style="2" customWidth="1"/>
    <col min="15882" max="15886" width="14.28515625" style="2" customWidth="1"/>
    <col min="15887" max="15887" width="9.5703125" style="2" customWidth="1"/>
    <col min="15888" max="15888" width="15.28515625" style="2" customWidth="1"/>
    <col min="15889" max="15892" width="14.28515625" style="2" customWidth="1"/>
    <col min="15893" max="15893" width="9.140625" style="2"/>
    <col min="15894" max="15896" width="14.28515625" style="2" bestFit="1" customWidth="1"/>
    <col min="15897" max="15897" width="14.28515625" style="2" customWidth="1"/>
    <col min="15898" max="15898" width="9.140625" style="2"/>
    <col min="15899" max="15901" width="15.28515625" style="2" bestFit="1" customWidth="1"/>
    <col min="15902" max="15902" width="16.42578125" style="2" bestFit="1" customWidth="1"/>
    <col min="15903" max="15903" width="15.28515625" style="2" customWidth="1"/>
    <col min="15904" max="15904" width="9.140625" style="2"/>
    <col min="15905" max="15905" width="20.28515625" style="2" customWidth="1"/>
    <col min="15906" max="15908" width="9.140625" style="2"/>
    <col min="15909" max="15909" width="14.140625" style="2" bestFit="1" customWidth="1"/>
    <col min="15910" max="15910" width="11.85546875" style="2" bestFit="1" customWidth="1"/>
    <col min="15911" max="15911" width="12.85546875" style="2" bestFit="1" customWidth="1"/>
    <col min="15912" max="16133" width="9.140625" style="2"/>
    <col min="16134" max="16134" width="26.7109375" style="2" bestFit="1" customWidth="1"/>
    <col min="16135" max="16135" width="13.7109375" style="2" bestFit="1" customWidth="1"/>
    <col min="16136" max="16136" width="26.42578125" style="2" bestFit="1" customWidth="1"/>
    <col min="16137" max="16137" width="11.5703125" style="2" customWidth="1"/>
    <col min="16138" max="16142" width="14.28515625" style="2" customWidth="1"/>
    <col min="16143" max="16143" width="9.5703125" style="2" customWidth="1"/>
    <col min="16144" max="16144" width="15.28515625" style="2" customWidth="1"/>
    <col min="16145" max="16148" width="14.28515625" style="2" customWidth="1"/>
    <col min="16149" max="16149" width="9.140625" style="2"/>
    <col min="16150" max="16152" width="14.28515625" style="2" bestFit="1" customWidth="1"/>
    <col min="16153" max="16153" width="14.28515625" style="2" customWidth="1"/>
    <col min="16154" max="16154" width="9.140625" style="2"/>
    <col min="16155" max="16157" width="15.28515625" style="2" bestFit="1" customWidth="1"/>
    <col min="16158" max="16158" width="16.42578125" style="2" bestFit="1" customWidth="1"/>
    <col min="16159" max="16159" width="15.28515625" style="2" customWidth="1"/>
    <col min="16160" max="16160" width="9.140625" style="2"/>
    <col min="16161" max="16161" width="20.28515625" style="2" customWidth="1"/>
    <col min="16162" max="16164" width="9.140625" style="2"/>
    <col min="16165" max="16165" width="14.140625" style="2" bestFit="1" customWidth="1"/>
    <col min="16166" max="16166" width="11.85546875" style="2" bestFit="1" customWidth="1"/>
    <col min="16167" max="16167" width="12.85546875" style="2" bestFit="1" customWidth="1"/>
    <col min="16168" max="16384" width="9.140625" style="2"/>
  </cols>
  <sheetData>
    <row r="2" spans="3:39" ht="15" customHeight="1">
      <c r="C2" s="1" t="s">
        <v>245</v>
      </c>
    </row>
    <row r="3" spans="3:39" ht="15" customHeight="1">
      <c r="G3" s="15" t="s">
        <v>256</v>
      </c>
      <c r="I3" s="15"/>
      <c r="J3" s="15"/>
      <c r="K3" s="15"/>
      <c r="L3" s="15"/>
      <c r="N3" s="15" t="s">
        <v>257</v>
      </c>
      <c r="P3" s="15"/>
      <c r="Q3" s="15"/>
      <c r="R3" s="15"/>
      <c r="U3" s="15" t="s">
        <v>246</v>
      </c>
      <c r="W3" s="15"/>
      <c r="X3" s="15"/>
      <c r="Y3" s="15"/>
      <c r="AB3" s="15" t="s">
        <v>260</v>
      </c>
      <c r="AD3" s="15"/>
      <c r="AE3" s="15"/>
      <c r="AF3" s="15"/>
    </row>
    <row r="4" spans="3:39" ht="40.15" customHeight="1" thickBot="1">
      <c r="C4" s="171" t="s">
        <v>13</v>
      </c>
      <c r="D4" s="171" t="s">
        <v>14</v>
      </c>
      <c r="E4" s="171" t="s">
        <v>15</v>
      </c>
      <c r="G4" s="171">
        <v>2017</v>
      </c>
      <c r="H4" s="171">
        <v>2018</v>
      </c>
      <c r="I4" s="171">
        <v>2019</v>
      </c>
      <c r="J4" s="171">
        <v>2020</v>
      </c>
      <c r="K4" s="171" t="s">
        <v>258</v>
      </c>
      <c r="L4" s="171" t="s">
        <v>259</v>
      </c>
      <c r="N4" s="171">
        <v>2017</v>
      </c>
      <c r="O4" s="171">
        <v>2018</v>
      </c>
      <c r="P4" s="171">
        <v>2019</v>
      </c>
      <c r="Q4" s="171">
        <v>2020</v>
      </c>
      <c r="R4" s="171" t="s">
        <v>258</v>
      </c>
      <c r="S4" s="193" t="s">
        <v>259</v>
      </c>
      <c r="U4" s="171">
        <v>2017</v>
      </c>
      <c r="V4" s="171">
        <v>2018</v>
      </c>
      <c r="W4" s="171">
        <v>2019</v>
      </c>
      <c r="X4" s="171">
        <v>2020</v>
      </c>
      <c r="Y4" s="171" t="s">
        <v>266</v>
      </c>
      <c r="Z4" s="193" t="s">
        <v>259</v>
      </c>
      <c r="AB4" s="171">
        <v>2017</v>
      </c>
      <c r="AC4" s="171">
        <v>2018</v>
      </c>
      <c r="AD4" s="171">
        <v>2019</v>
      </c>
      <c r="AE4" s="171">
        <v>2020</v>
      </c>
      <c r="AF4" s="171" t="s">
        <v>266</v>
      </c>
      <c r="AG4" s="193" t="s">
        <v>259</v>
      </c>
      <c r="AH4" s="193" t="s">
        <v>267</v>
      </c>
    </row>
    <row r="5" spans="3:39" ht="15" customHeight="1">
      <c r="C5" s="219" t="s">
        <v>2</v>
      </c>
      <c r="D5" s="173" t="s">
        <v>16</v>
      </c>
      <c r="E5" s="174" t="s">
        <v>17</v>
      </c>
      <c r="G5" s="182">
        <f>AuxOPEXGlosas!E58*AuxOPEXGlosas!$F$16</f>
        <v>165954815.07505214</v>
      </c>
      <c r="H5" s="183">
        <f>AuxOPEXGlosas!M58*AuxOPEXGlosas!$G$16</f>
        <v>152426783.89718765</v>
      </c>
      <c r="I5" s="183">
        <f>AuxOPEXGlosas!U58*AuxOPEXGlosas!$H$16</f>
        <v>157942611.00579524</v>
      </c>
      <c r="J5" s="183">
        <f>AuxOPEXGlosas!AC58</f>
        <v>157602004.19000006</v>
      </c>
      <c r="K5" s="183">
        <f>AVERAGE(G5:J5)</f>
        <v>158481553.54200876</v>
      </c>
      <c r="L5" s="184">
        <f>MEDIAN(G5:J5)</f>
        <v>157772307.59789765</v>
      </c>
      <c r="M5" s="10"/>
      <c r="N5" s="182">
        <f>+G5+(G5*AuxOPEXGlosas!T$21)</f>
        <v>151295263.49761698</v>
      </c>
      <c r="O5" s="183">
        <f>+H5+(H5*AuxOPEXGlosas!U$21)</f>
        <v>130747262.41893831</v>
      </c>
      <c r="P5" s="183">
        <f>+I5+(I5*AuxOPEXGlosas!V$21)</f>
        <v>143044905.35643101</v>
      </c>
      <c r="Q5" s="183">
        <f>+J5+(J5*AuxOPEXGlosas!W$21)</f>
        <v>144259931.71465006</v>
      </c>
      <c r="R5" s="183">
        <f>AVERAGE(N5:Q5)</f>
        <v>142336840.74690908</v>
      </c>
      <c r="S5" s="184">
        <f>AVERAGE(N5:Q5)</f>
        <v>142336840.74690908</v>
      </c>
      <c r="U5" s="182">
        <f>+AuxOPEXDrivers!C$6</f>
        <v>756184333</v>
      </c>
      <c r="V5" s="183">
        <f>+AuxOPEXDrivers!D$6</f>
        <v>760841619</v>
      </c>
      <c r="W5" s="183">
        <f>+AuxOPEXDrivers!E$6</f>
        <v>778606653</v>
      </c>
      <c r="X5" s="183">
        <f>+AuxOPEXDrivers!F$6</f>
        <v>764917368</v>
      </c>
      <c r="Y5" s="183">
        <f>AVERAGE(U5:X5)</f>
        <v>765137493.25</v>
      </c>
      <c r="Z5" s="184">
        <f>MEDIAN(U5:X5)</f>
        <v>762879493.5</v>
      </c>
      <c r="AB5" s="196">
        <f>N5/U5</f>
        <v>0.20007722574386763</v>
      </c>
      <c r="AC5" s="197">
        <f>O5/V5</f>
        <v>0.17184557094916006</v>
      </c>
      <c r="AD5" s="197">
        <f>P5/W5</f>
        <v>0.18371908948539514</v>
      </c>
      <c r="AE5" s="197">
        <f>Q5/X5</f>
        <v>0.18859544540326095</v>
      </c>
      <c r="AF5" s="197">
        <f>AVERAGE(AB5:AE5)</f>
        <v>0.18605933289542093</v>
      </c>
      <c r="AG5" s="198">
        <f>MEDIAN(AB5:AE5)</f>
        <v>0.18615726744432803</v>
      </c>
      <c r="AH5" s="205">
        <f>SMALL(AE5:AG5,1)</f>
        <v>0.18605933289542093</v>
      </c>
      <c r="AK5" s="123"/>
      <c r="AL5" s="22"/>
      <c r="AM5" s="22"/>
    </row>
    <row r="6" spans="3:39" ht="15" customHeight="1">
      <c r="C6" s="220" t="s">
        <v>3</v>
      </c>
      <c r="D6" s="176" t="s">
        <v>16</v>
      </c>
      <c r="E6" s="177" t="s">
        <v>17</v>
      </c>
      <c r="G6" s="185">
        <f>AuxOPEXGlosas!E73*AuxOPEXGlosas!$F$16</f>
        <v>8548943.8056977857</v>
      </c>
      <c r="H6" s="170">
        <f>AuxOPEXGlosas!M73*AuxOPEXGlosas!$G$16</f>
        <v>7325585.5626273248</v>
      </c>
      <c r="I6" s="170">
        <f>AuxOPEXGlosas!U73*AuxOPEXGlosas!$H$16</f>
        <v>7513555.7420757599</v>
      </c>
      <c r="J6" s="170">
        <f>AuxOPEXGlosas!AC73</f>
        <v>7467431.259999997</v>
      </c>
      <c r="K6" s="170">
        <f t="shared" ref="K6:K40" si="0">AVERAGE(G6:J6)</f>
        <v>7713879.0926002171</v>
      </c>
      <c r="L6" s="186">
        <f t="shared" ref="L6:L40" si="1">MEDIAN(G6:J6)</f>
        <v>7490493.5010378789</v>
      </c>
      <c r="M6" s="10"/>
      <c r="N6" s="185">
        <f>+G6+(G6*AuxOPEXGlosas!T$22)</f>
        <v>8548943.8056977857</v>
      </c>
      <c r="O6" s="170">
        <f>+H6+(H6*AuxOPEXGlosas!U$22)</f>
        <v>7325585.5626273248</v>
      </c>
      <c r="P6" s="170">
        <f>+I6+(I6*AuxOPEXGlosas!V$22)</f>
        <v>7513555.7420757599</v>
      </c>
      <c r="Q6" s="170">
        <f>+J6+(J6*AuxOPEXGlosas!W$22)</f>
        <v>7467431.259999997</v>
      </c>
      <c r="R6" s="170">
        <f t="shared" ref="R6:R46" si="2">AVERAGE(N6:Q6)</f>
        <v>7713879.0926002171</v>
      </c>
      <c r="S6" s="186">
        <f t="shared" ref="S6:S46" si="3">AVERAGE(N6:Q6)</f>
        <v>7713879.0926002171</v>
      </c>
      <c r="U6" s="185">
        <f>+AuxOPEXDrivers!C$6</f>
        <v>756184333</v>
      </c>
      <c r="V6" s="170">
        <f>+AuxOPEXDrivers!D$6</f>
        <v>760841619</v>
      </c>
      <c r="W6" s="170">
        <f>+AuxOPEXDrivers!E$6</f>
        <v>778606653</v>
      </c>
      <c r="X6" s="170">
        <f>+AuxOPEXDrivers!F$6</f>
        <v>764917368</v>
      </c>
      <c r="Y6" s="170">
        <f t="shared" ref="Y6:Y46" si="4">AVERAGE(U6:X6)</f>
        <v>765137493.25</v>
      </c>
      <c r="Z6" s="186">
        <f t="shared" ref="Z6:Z46" si="5">MEDIAN(U6:X6)</f>
        <v>762879493.5</v>
      </c>
      <c r="AB6" s="199">
        <f t="shared" ref="AB6:AB46" si="6">N6/U6</f>
        <v>1.1305370175789909E-2</v>
      </c>
      <c r="AC6" s="200">
        <f t="shared" ref="AC6:AC46" si="7">O6/V6</f>
        <v>9.6282660933501383E-3</v>
      </c>
      <c r="AD6" s="200">
        <f t="shared" ref="AD6:AD46" si="8">P6/W6</f>
        <v>9.6500019786958588E-3</v>
      </c>
      <c r="AE6" s="200">
        <f t="shared" ref="AE6:AE46" si="9">Q6/X6</f>
        <v>9.7624025448981525E-3</v>
      </c>
      <c r="AF6" s="200">
        <f t="shared" ref="AF6:AF46" si="10">AVERAGE(AB6:AE6)</f>
        <v>1.0086510198183515E-2</v>
      </c>
      <c r="AG6" s="201">
        <f t="shared" ref="AG6:AG46" si="11">MEDIAN(AB6:AE6)</f>
        <v>9.7062022617970048E-3</v>
      </c>
      <c r="AH6" s="206">
        <f t="shared" ref="AH6:AH46" si="12">SMALL(AE6:AG6,1)</f>
        <v>9.7062022617970048E-3</v>
      </c>
      <c r="AK6" s="123"/>
      <c r="AL6" s="22"/>
      <c r="AM6" s="22"/>
    </row>
    <row r="7" spans="3:39" ht="15" customHeight="1">
      <c r="C7" s="220" t="s">
        <v>4</v>
      </c>
      <c r="D7" s="176" t="s">
        <v>16</v>
      </c>
      <c r="E7" s="177" t="s">
        <v>17</v>
      </c>
      <c r="G7" s="185">
        <f>AuxOPEXGlosas!E75*AuxOPEXGlosas!$F$16</f>
        <v>65458340.524092019</v>
      </c>
      <c r="H7" s="170">
        <f>AuxOPEXGlosas!M75*AuxOPEXGlosas!$G$16</f>
        <v>55421518.841428533</v>
      </c>
      <c r="I7" s="170">
        <f>AuxOPEXGlosas!U75*AuxOPEXGlosas!$H$16</f>
        <v>70794537.328551009</v>
      </c>
      <c r="J7" s="170">
        <f>AuxOPEXGlosas!AC75</f>
        <v>78418793.839999929</v>
      </c>
      <c r="K7" s="170">
        <f t="shared" si="0"/>
        <v>67523297.633517876</v>
      </c>
      <c r="L7" s="186">
        <f t="shared" si="1"/>
        <v>68126438.926321507</v>
      </c>
      <c r="M7" s="10"/>
      <c r="N7" s="185">
        <f>+G7+(G7*AuxOPEXGlosas!T$23)</f>
        <v>65458340.524092019</v>
      </c>
      <c r="O7" s="170">
        <f>+H7+(H7*AuxOPEXGlosas!U$23)</f>
        <v>55421518.841428533</v>
      </c>
      <c r="P7" s="170">
        <f>+I7+(I7*AuxOPEXGlosas!V$23)</f>
        <v>70794537.328551009</v>
      </c>
      <c r="Q7" s="170">
        <f>+J7+(J7*AuxOPEXGlosas!W$23)</f>
        <v>78418793.839999929</v>
      </c>
      <c r="R7" s="170">
        <f t="shared" si="2"/>
        <v>67523297.633517876</v>
      </c>
      <c r="S7" s="186">
        <f t="shared" si="3"/>
        <v>67523297.633517876</v>
      </c>
      <c r="U7" s="185">
        <f>+AuxOPEXDrivers!C$6</f>
        <v>756184333</v>
      </c>
      <c r="V7" s="170">
        <f>+AuxOPEXDrivers!D$6</f>
        <v>760841619</v>
      </c>
      <c r="W7" s="170">
        <f>+AuxOPEXDrivers!E$6</f>
        <v>778606653</v>
      </c>
      <c r="X7" s="170">
        <f>+AuxOPEXDrivers!F$6</f>
        <v>764917368</v>
      </c>
      <c r="Y7" s="170">
        <f t="shared" si="4"/>
        <v>765137493.25</v>
      </c>
      <c r="Z7" s="186">
        <f t="shared" si="5"/>
        <v>762879493.5</v>
      </c>
      <c r="AB7" s="199">
        <f t="shared" si="6"/>
        <v>8.6563999897220856E-2</v>
      </c>
      <c r="AC7" s="200">
        <f t="shared" si="7"/>
        <v>7.2842385928192144E-2</v>
      </c>
      <c r="AD7" s="200">
        <f t="shared" si="8"/>
        <v>9.0924649893212528E-2</v>
      </c>
      <c r="AE7" s="200">
        <f t="shared" si="9"/>
        <v>0.1025193009344768</v>
      </c>
      <c r="AF7" s="200">
        <f t="shared" si="10"/>
        <v>8.8212584163275584E-2</v>
      </c>
      <c r="AG7" s="201">
        <f t="shared" si="11"/>
        <v>8.8744324895216692E-2</v>
      </c>
      <c r="AH7" s="206">
        <f t="shared" si="12"/>
        <v>8.8212584163275584E-2</v>
      </c>
      <c r="AK7" s="123"/>
      <c r="AL7" s="22"/>
      <c r="AM7" s="22"/>
    </row>
    <row r="8" spans="3:39" ht="15" customHeight="1">
      <c r="C8" s="220" t="s">
        <v>5</v>
      </c>
      <c r="D8" s="176" t="s">
        <v>16</v>
      </c>
      <c r="E8" s="177" t="s">
        <v>17</v>
      </c>
      <c r="G8" s="185">
        <f>AuxOPEXGlosas!E106*AuxOPEXGlosas!$F$16</f>
        <v>49240593.242982484</v>
      </c>
      <c r="H8" s="170">
        <f>AuxOPEXGlosas!M106*AuxOPEXGlosas!$G$16</f>
        <v>50712492.35403119</v>
      </c>
      <c r="I8" s="170">
        <f>AuxOPEXGlosas!U106*AuxOPEXGlosas!$H$16</f>
        <v>51683534.570682049</v>
      </c>
      <c r="J8" s="170">
        <f>AuxOPEXGlosas!AC106</f>
        <v>56204134.020000018</v>
      </c>
      <c r="K8" s="170">
        <f t="shared" si="0"/>
        <v>51960188.546923935</v>
      </c>
      <c r="L8" s="186">
        <f t="shared" si="1"/>
        <v>51198013.46235662</v>
      </c>
      <c r="M8" s="10"/>
      <c r="N8" s="185">
        <f>+G8+(G8*AuxOPEXGlosas!T$24)</f>
        <v>49240593.242982484</v>
      </c>
      <c r="O8" s="170">
        <f>+H8+(H8*AuxOPEXGlosas!U$24)</f>
        <v>50712492.35403119</v>
      </c>
      <c r="P8" s="170">
        <f>+I8+(I8*AuxOPEXGlosas!V$24)</f>
        <v>51683534.570682049</v>
      </c>
      <c r="Q8" s="170">
        <f>+J8+(J8*AuxOPEXGlosas!W$24)</f>
        <v>56204134.020000018</v>
      </c>
      <c r="R8" s="170">
        <f t="shared" si="2"/>
        <v>51960188.546923935</v>
      </c>
      <c r="S8" s="186">
        <f t="shared" si="3"/>
        <v>51960188.546923935</v>
      </c>
      <c r="U8" s="185">
        <f>+AuxOPEXDrivers!C$6</f>
        <v>756184333</v>
      </c>
      <c r="V8" s="170">
        <f>+AuxOPEXDrivers!D$6</f>
        <v>760841619</v>
      </c>
      <c r="W8" s="170">
        <f>+AuxOPEXDrivers!E$6</f>
        <v>778606653</v>
      </c>
      <c r="X8" s="170">
        <f>+AuxOPEXDrivers!F$6</f>
        <v>764917368</v>
      </c>
      <c r="Y8" s="170">
        <f t="shared" si="4"/>
        <v>765137493.25</v>
      </c>
      <c r="Z8" s="186">
        <f t="shared" si="5"/>
        <v>762879493.5</v>
      </c>
      <c r="AB8" s="199">
        <f t="shared" si="6"/>
        <v>6.5117182536209045E-2</v>
      </c>
      <c r="AC8" s="200">
        <f t="shared" si="7"/>
        <v>6.6653152361307921E-2</v>
      </c>
      <c r="AD8" s="200">
        <f t="shared" si="8"/>
        <v>6.6379518299186757E-2</v>
      </c>
      <c r="AE8" s="200">
        <f t="shared" si="9"/>
        <v>7.3477392946318901E-2</v>
      </c>
      <c r="AF8" s="200">
        <f t="shared" si="10"/>
        <v>6.790681153575566E-2</v>
      </c>
      <c r="AG8" s="201">
        <f t="shared" si="11"/>
        <v>6.6516335330247339E-2</v>
      </c>
      <c r="AH8" s="206">
        <f t="shared" si="12"/>
        <v>6.6516335330247339E-2</v>
      </c>
      <c r="AK8" s="123"/>
      <c r="AL8" s="22"/>
      <c r="AM8" s="22"/>
    </row>
    <row r="9" spans="3:39" ht="15" hidden="1" customHeight="1">
      <c r="C9" s="220" t="s">
        <v>18</v>
      </c>
      <c r="D9" s="222" t="s">
        <v>16</v>
      </c>
      <c r="E9" s="223" t="s">
        <v>17</v>
      </c>
      <c r="G9" s="185">
        <f>AuxOPEXGlosas!E108*AuxOPEXGlosas!$F$16</f>
        <v>275533096.93318278</v>
      </c>
      <c r="H9" s="170">
        <f>AuxOPEXGlosas!M108*AuxOPEXGlosas!$G$16</f>
        <v>296140200.29790837</v>
      </c>
      <c r="I9" s="170">
        <f>AuxOPEXGlosas!U108*AuxOPEXGlosas!$H$16</f>
        <v>319165695.07959884</v>
      </c>
      <c r="J9" s="170">
        <f>AuxOPEXGlosas!AC108</f>
        <v>284941913.71999997</v>
      </c>
      <c r="K9" s="170">
        <f t="shared" si="0"/>
        <v>293945226.50767249</v>
      </c>
      <c r="L9" s="186">
        <f t="shared" si="1"/>
        <v>290541057.00895417</v>
      </c>
      <c r="M9" s="10"/>
      <c r="N9" s="185">
        <f>+G9+(G9*AuxOPEXGlosas!T$25)</f>
        <v>275533096.93318278</v>
      </c>
      <c r="O9" s="170">
        <f>+H9+(H9*AuxOPEXGlosas!U$25)</f>
        <v>296140200.29790837</v>
      </c>
      <c r="P9" s="170">
        <f>+I9+(I9*AuxOPEXGlosas!V$25)</f>
        <v>319165695.07959884</v>
      </c>
      <c r="Q9" s="170">
        <f>+J9+(J9*AuxOPEXGlosas!W$25)</f>
        <v>284941913.71999997</v>
      </c>
      <c r="R9" s="170">
        <f t="shared" si="2"/>
        <v>293945226.50767249</v>
      </c>
      <c r="S9" s="186">
        <f t="shared" si="3"/>
        <v>293945226.50767249</v>
      </c>
      <c r="U9" s="185">
        <f>+AuxOPEXDrivers!C$6</f>
        <v>756184333</v>
      </c>
      <c r="V9" s="170">
        <f>+AuxOPEXDrivers!D$6</f>
        <v>760841619</v>
      </c>
      <c r="W9" s="170">
        <f>+AuxOPEXDrivers!E$6</f>
        <v>778606653</v>
      </c>
      <c r="X9" s="170">
        <f>+AuxOPEXDrivers!F$6</f>
        <v>764917368</v>
      </c>
      <c r="Y9" s="170">
        <f t="shared" si="4"/>
        <v>765137493.25</v>
      </c>
      <c r="Z9" s="186">
        <f t="shared" si="5"/>
        <v>762879493.5</v>
      </c>
      <c r="AB9" s="199">
        <f t="shared" si="6"/>
        <v>0.36437292457523418</v>
      </c>
      <c r="AC9" s="200">
        <f t="shared" si="7"/>
        <v>0.38922713072286386</v>
      </c>
      <c r="AD9" s="200">
        <f t="shared" si="8"/>
        <v>0.40991904429514148</v>
      </c>
      <c r="AE9" s="200">
        <f t="shared" si="9"/>
        <v>0.37251332711273982</v>
      </c>
      <c r="AF9" s="200">
        <f t="shared" si="10"/>
        <v>0.38400810667649482</v>
      </c>
      <c r="AG9" s="201">
        <f t="shared" si="11"/>
        <v>0.38087022891780187</v>
      </c>
      <c r="AH9" s="206">
        <f t="shared" si="12"/>
        <v>0.37251332711273982</v>
      </c>
      <c r="AK9" s="123"/>
      <c r="AL9" s="22"/>
      <c r="AM9" s="22"/>
    </row>
    <row r="10" spans="3:39" ht="15" customHeight="1" thickBot="1">
      <c r="C10" s="221" t="s">
        <v>6</v>
      </c>
      <c r="D10" s="179" t="s">
        <v>16</v>
      </c>
      <c r="E10" s="180" t="s">
        <v>17</v>
      </c>
      <c r="G10" s="187">
        <f>AuxOPEXGlosas!E166*AuxOPEXGlosas!$F$16</f>
        <v>81356415.982193008</v>
      </c>
      <c r="H10" s="188">
        <f>AuxOPEXGlosas!M166*AuxOPEXGlosas!$G$16</f>
        <v>84333747.260887459</v>
      </c>
      <c r="I10" s="188">
        <f>AuxOPEXGlosas!U166*AuxOPEXGlosas!$H$16</f>
        <v>82710369.456722394</v>
      </c>
      <c r="J10" s="188">
        <f>AuxOPEXGlosas!AC166</f>
        <v>72408752.270000026</v>
      </c>
      <c r="K10" s="188">
        <f t="shared" si="0"/>
        <v>80202321.242450729</v>
      </c>
      <c r="L10" s="189">
        <f t="shared" si="1"/>
        <v>82033392.719457701</v>
      </c>
      <c r="M10" s="10"/>
      <c r="N10" s="187">
        <f>+G10+(G10*AuxOPEXGlosas!T$26)</f>
        <v>-1988824.4617729634</v>
      </c>
      <c r="O10" s="188">
        <f>+H10+(H10*AuxOPEXGlosas!U$26)</f>
        <v>-3723615.1100051552</v>
      </c>
      <c r="P10" s="188">
        <f>+I10+(I10*AuxOPEXGlosas!V$26)</f>
        <v>-4908939.8607209772</v>
      </c>
      <c r="Q10" s="188">
        <f>+J10+(J10*AuxOPEXGlosas!W$26)</f>
        <v>-3458959.2351333052</v>
      </c>
      <c r="R10" s="188">
        <f t="shared" si="2"/>
        <v>-3520084.6669081002</v>
      </c>
      <c r="S10" s="189">
        <f t="shared" si="3"/>
        <v>-3520084.6669081002</v>
      </c>
      <c r="U10" s="187">
        <f>+AuxOPEXDrivers!C$6</f>
        <v>756184333</v>
      </c>
      <c r="V10" s="188">
        <f>+AuxOPEXDrivers!D$6</f>
        <v>760841619</v>
      </c>
      <c r="W10" s="188">
        <f>+AuxOPEXDrivers!E$6</f>
        <v>778606653</v>
      </c>
      <c r="X10" s="188">
        <f>+AuxOPEXDrivers!F$6</f>
        <v>764917368</v>
      </c>
      <c r="Y10" s="188">
        <f t="shared" si="4"/>
        <v>765137493.25</v>
      </c>
      <c r="Z10" s="189">
        <f t="shared" si="5"/>
        <v>762879493.5</v>
      </c>
      <c r="AB10" s="202">
        <f t="shared" si="6"/>
        <v>-2.63007890401898E-3</v>
      </c>
      <c r="AC10" s="203">
        <f t="shared" si="7"/>
        <v>-4.894073900556635E-3</v>
      </c>
      <c r="AD10" s="203">
        <f t="shared" si="8"/>
        <v>-6.3047751285025006E-3</v>
      </c>
      <c r="AE10" s="203">
        <f t="shared" si="9"/>
        <v>-4.5220037873859665E-3</v>
      </c>
      <c r="AF10" s="203">
        <f t="shared" si="10"/>
        <v>-4.5877329301160204E-3</v>
      </c>
      <c r="AG10" s="204">
        <f t="shared" si="11"/>
        <v>-4.7080388439713003E-3</v>
      </c>
      <c r="AH10" s="207">
        <f t="shared" si="12"/>
        <v>-4.7080388439713003E-3</v>
      </c>
      <c r="AK10" s="123"/>
      <c r="AL10" s="22"/>
      <c r="AM10" s="22"/>
    </row>
    <row r="11" spans="3:39" ht="15" customHeight="1">
      <c r="C11" s="219" t="s">
        <v>2</v>
      </c>
      <c r="D11" s="173" t="s">
        <v>19</v>
      </c>
      <c r="E11" s="174" t="s">
        <v>20</v>
      </c>
      <c r="G11" s="182">
        <f>AuxOPEXGlosas!F58*AuxOPEXGlosas!F$16</f>
        <v>152913759.52294096</v>
      </c>
      <c r="H11" s="183">
        <f>AuxOPEXGlosas!N58*AuxOPEXGlosas!G$16</f>
        <v>140578088.83580232</v>
      </c>
      <c r="I11" s="183">
        <f>AuxOPEXGlosas!V58*AuxOPEXGlosas!H$16</f>
        <v>142949909.5118897</v>
      </c>
      <c r="J11" s="183">
        <f>AuxOPEXGlosas!AD58*AuxOPEXGlosas!I$16</f>
        <v>146096750.92999995</v>
      </c>
      <c r="K11" s="183">
        <f t="shared" si="0"/>
        <v>145634627.20015824</v>
      </c>
      <c r="L11" s="184">
        <f t="shared" si="1"/>
        <v>144523330.22094482</v>
      </c>
      <c r="N11" s="182">
        <f>+G11+(G11*AuxOPEXGlosas!T$21)</f>
        <v>139406184.32174963</v>
      </c>
      <c r="O11" s="183">
        <f>+H11+(H11*AuxOPEXGlosas!U$21)</f>
        <v>120583796.37377229</v>
      </c>
      <c r="P11" s="183">
        <f>+I11+(I11*AuxOPEXGlosas!V$21)</f>
        <v>129466368.49056745</v>
      </c>
      <c r="Q11" s="183">
        <f>+J11+(J11*AuxOPEXGlosas!W$21)</f>
        <v>133728675.73108763</v>
      </c>
      <c r="R11" s="183">
        <f t="shared" si="2"/>
        <v>130796256.22929426</v>
      </c>
      <c r="S11" s="184">
        <f t="shared" si="3"/>
        <v>130796256.22929426</v>
      </c>
      <c r="U11" s="182">
        <f>+AuxOPEXDrivers!C$14</f>
        <v>3087156</v>
      </c>
      <c r="V11" s="183">
        <f>+AuxOPEXDrivers!D$14</f>
        <v>3137756</v>
      </c>
      <c r="W11" s="183">
        <f>+AuxOPEXDrivers!E$14</f>
        <v>3194532</v>
      </c>
      <c r="X11" s="183">
        <f>+AuxOPEXDrivers!F$14</f>
        <v>3273807</v>
      </c>
      <c r="Y11" s="183">
        <f t="shared" si="4"/>
        <v>3173312.75</v>
      </c>
      <c r="Z11" s="184">
        <f t="shared" si="5"/>
        <v>3166144</v>
      </c>
      <c r="AB11" s="196">
        <f t="shared" si="6"/>
        <v>45.15683182895507</v>
      </c>
      <c r="AC11" s="197">
        <f t="shared" si="7"/>
        <v>38.429946870875966</v>
      </c>
      <c r="AD11" s="197">
        <f t="shared" si="8"/>
        <v>40.527491504410492</v>
      </c>
      <c r="AE11" s="197">
        <f t="shared" si="9"/>
        <v>40.848063349821054</v>
      </c>
      <c r="AF11" s="197">
        <f t="shared" si="10"/>
        <v>41.240583388515645</v>
      </c>
      <c r="AG11" s="198">
        <f t="shared" si="11"/>
        <v>40.687777427115776</v>
      </c>
      <c r="AH11" s="205">
        <f t="shared" si="12"/>
        <v>40.687777427115776</v>
      </c>
      <c r="AK11" s="123"/>
      <c r="AL11" s="22"/>
      <c r="AM11" s="22"/>
    </row>
    <row r="12" spans="3:39" ht="15" customHeight="1">
      <c r="C12" s="220" t="s">
        <v>3</v>
      </c>
      <c r="D12" s="176" t="s">
        <v>19</v>
      </c>
      <c r="E12" s="177" t="s">
        <v>20</v>
      </c>
      <c r="G12" s="190">
        <f>AuxOPEXGlosas!F73*AuxOPEXGlosas!F$16</f>
        <v>15723034.604152506</v>
      </c>
      <c r="H12" s="181">
        <f>AuxOPEXGlosas!N73*AuxOPEXGlosas!G$16</f>
        <v>13448840.117283896</v>
      </c>
      <c r="I12" s="181">
        <f>AuxOPEXGlosas!V73*AuxOPEXGlosas!H$16</f>
        <v>12733443.560868034</v>
      </c>
      <c r="J12" s="181">
        <f>AuxOPEXGlosas!AD73*AuxOPEXGlosas!I$16</f>
        <v>9505461.8100000042</v>
      </c>
      <c r="K12" s="170">
        <f t="shared" si="0"/>
        <v>12852695.02307611</v>
      </c>
      <c r="L12" s="186">
        <f t="shared" si="1"/>
        <v>13091141.839075964</v>
      </c>
      <c r="N12" s="185">
        <f>+G12+(G12*AuxOPEXGlosas!T$22)</f>
        <v>15723034.604152506</v>
      </c>
      <c r="O12" s="170">
        <f>+H12+(H12*AuxOPEXGlosas!U$22)</f>
        <v>13448840.117283896</v>
      </c>
      <c r="P12" s="170">
        <f>+I12+(I12*AuxOPEXGlosas!V$22)</f>
        <v>12733443.560868034</v>
      </c>
      <c r="Q12" s="170">
        <f>+J12+(J12*AuxOPEXGlosas!W$22)</f>
        <v>9505461.8100000042</v>
      </c>
      <c r="R12" s="170">
        <f t="shared" si="2"/>
        <v>12852695.02307611</v>
      </c>
      <c r="S12" s="186">
        <f t="shared" si="3"/>
        <v>12852695.02307611</v>
      </c>
      <c r="U12" s="185">
        <f>+AuxOPEXDrivers!C$14</f>
        <v>3087156</v>
      </c>
      <c r="V12" s="170">
        <f>+AuxOPEXDrivers!D$14</f>
        <v>3137756</v>
      </c>
      <c r="W12" s="170">
        <f>+AuxOPEXDrivers!E$14</f>
        <v>3194532</v>
      </c>
      <c r="X12" s="170">
        <f>+AuxOPEXDrivers!F$14</f>
        <v>3273807</v>
      </c>
      <c r="Y12" s="170">
        <f t="shared" si="4"/>
        <v>3173312.75</v>
      </c>
      <c r="Z12" s="186">
        <f t="shared" si="5"/>
        <v>3166144</v>
      </c>
      <c r="AB12" s="199">
        <f t="shared" si="6"/>
        <v>5.0930482956327783</v>
      </c>
      <c r="AC12" s="200">
        <f t="shared" si="7"/>
        <v>4.2861331847613053</v>
      </c>
      <c r="AD12" s="200">
        <f t="shared" si="8"/>
        <v>3.9860122111370413</v>
      </c>
      <c r="AE12" s="200">
        <f t="shared" si="9"/>
        <v>2.9034887548349686</v>
      </c>
      <c r="AF12" s="200">
        <f t="shared" si="10"/>
        <v>4.0671706115915232</v>
      </c>
      <c r="AG12" s="201">
        <f t="shared" si="11"/>
        <v>4.1360726979491735</v>
      </c>
      <c r="AH12" s="206">
        <f t="shared" si="12"/>
        <v>2.9034887548349686</v>
      </c>
      <c r="AK12" s="123"/>
      <c r="AL12" s="22"/>
      <c r="AM12" s="22"/>
    </row>
    <row r="13" spans="3:39" ht="15" customHeight="1">
      <c r="C13" s="220" t="s">
        <v>4</v>
      </c>
      <c r="D13" s="176" t="s">
        <v>19</v>
      </c>
      <c r="E13" s="177" t="s">
        <v>21</v>
      </c>
      <c r="G13" s="190">
        <f>AuxOPEXGlosas!F75*AuxOPEXGlosas!F$16</f>
        <v>40993.622875528003</v>
      </c>
      <c r="H13" s="181">
        <f>AuxOPEXGlosas!N75*AuxOPEXGlosas!G$16</f>
        <v>9102.4776553860011</v>
      </c>
      <c r="I13" s="181">
        <f>AuxOPEXGlosas!V75*AuxOPEXGlosas!H$16</f>
        <v>84826.917047052004</v>
      </c>
      <c r="J13" s="181">
        <f>AuxOPEXGlosas!AD75*AuxOPEXGlosas!I$16</f>
        <v>41751.919999999998</v>
      </c>
      <c r="K13" s="170">
        <f t="shared" si="0"/>
        <v>44168.734394491505</v>
      </c>
      <c r="L13" s="186">
        <f t="shared" si="1"/>
        <v>41372.771437764</v>
      </c>
      <c r="N13" s="185">
        <f>+G13+(G13*AuxOPEXGlosas!T$23)</f>
        <v>40993.622875528003</v>
      </c>
      <c r="O13" s="170">
        <f>+H13+(H13*AuxOPEXGlosas!U$23)</f>
        <v>9102.4776553860011</v>
      </c>
      <c r="P13" s="170">
        <f>+I13+(I13*AuxOPEXGlosas!V$23)</f>
        <v>84826.917047052004</v>
      </c>
      <c r="Q13" s="170">
        <f>+J13+(J13*AuxOPEXGlosas!W$23)</f>
        <v>41751.919999999998</v>
      </c>
      <c r="R13" s="170">
        <f t="shared" si="2"/>
        <v>44168.734394491505</v>
      </c>
      <c r="S13" s="186">
        <f t="shared" si="3"/>
        <v>44168.734394491505</v>
      </c>
      <c r="U13" s="185">
        <f>+AuxOPEXDrivers!C$10</f>
        <v>494851646</v>
      </c>
      <c r="V13" s="170">
        <f>+AuxOPEXDrivers!D$10</f>
        <v>492349965</v>
      </c>
      <c r="W13" s="170">
        <f>+AuxOPEXDrivers!E$10</f>
        <v>509873761</v>
      </c>
      <c r="X13" s="170">
        <f>+AuxOPEXDrivers!F$10</f>
        <v>501095943</v>
      </c>
      <c r="Y13" s="170">
        <f t="shared" si="4"/>
        <v>499542828.75</v>
      </c>
      <c r="Z13" s="186">
        <f t="shared" si="5"/>
        <v>497973794.5</v>
      </c>
      <c r="AB13" s="199">
        <f t="shared" si="6"/>
        <v>8.2840227383073118E-5</v>
      </c>
      <c r="AC13" s="200">
        <f t="shared" si="7"/>
        <v>1.8487820254818137E-5</v>
      </c>
      <c r="AD13" s="200">
        <f t="shared" si="8"/>
        <v>1.6636846909063045E-4</v>
      </c>
      <c r="AE13" s="200">
        <f t="shared" si="9"/>
        <v>8.3321209407596417E-5</v>
      </c>
      <c r="AF13" s="200">
        <f t="shared" si="10"/>
        <v>8.7754431534029539E-5</v>
      </c>
      <c r="AG13" s="201">
        <f t="shared" si="11"/>
        <v>8.3080718395334767E-5</v>
      </c>
      <c r="AH13" s="206">
        <f t="shared" si="12"/>
        <v>8.3080718395334767E-5</v>
      </c>
      <c r="AK13" s="123"/>
      <c r="AL13" s="22"/>
      <c r="AM13" s="22"/>
    </row>
    <row r="14" spans="3:39" ht="15" customHeight="1">
      <c r="C14" s="220" t="s">
        <v>5</v>
      </c>
      <c r="D14" s="176" t="s">
        <v>19</v>
      </c>
      <c r="E14" s="177" t="s">
        <v>20</v>
      </c>
      <c r="G14" s="190">
        <f>AuxOPEXGlosas!F106*AuxOPEXGlosas!F$16</f>
        <v>170956535.06024209</v>
      </c>
      <c r="H14" s="181">
        <f>AuxOPEXGlosas!N106*AuxOPEXGlosas!G$16</f>
        <v>184118341.79725635</v>
      </c>
      <c r="I14" s="181">
        <f>AuxOPEXGlosas!V106*AuxOPEXGlosas!H$16</f>
        <v>198767189.72960404</v>
      </c>
      <c r="J14" s="181">
        <f>AuxOPEXGlosas!AD106*AuxOPEXGlosas!I$16</f>
        <v>177936530.50000033</v>
      </c>
      <c r="K14" s="170">
        <f t="shared" si="0"/>
        <v>182944649.27177569</v>
      </c>
      <c r="L14" s="186">
        <f t="shared" si="1"/>
        <v>181027436.14862835</v>
      </c>
      <c r="N14" s="185">
        <f>+G14+(G14*AuxOPEXGlosas!T$24)</f>
        <v>170956535.06024209</v>
      </c>
      <c r="O14" s="170">
        <f>+H14+(H14*AuxOPEXGlosas!U$24)</f>
        <v>184118341.79725635</v>
      </c>
      <c r="P14" s="170">
        <f>+I14+(I14*AuxOPEXGlosas!V$24)</f>
        <v>198767189.72960404</v>
      </c>
      <c r="Q14" s="170">
        <f>+J14+(J14*AuxOPEXGlosas!W$24)</f>
        <v>177936530.50000033</v>
      </c>
      <c r="R14" s="170">
        <f t="shared" si="2"/>
        <v>182944649.27177569</v>
      </c>
      <c r="S14" s="186">
        <f t="shared" si="3"/>
        <v>182944649.27177569</v>
      </c>
      <c r="U14" s="185">
        <f>+AuxOPEXDrivers!C$14</f>
        <v>3087156</v>
      </c>
      <c r="V14" s="170">
        <f>+AuxOPEXDrivers!D$14</f>
        <v>3137756</v>
      </c>
      <c r="W14" s="170">
        <f>+AuxOPEXDrivers!E$14</f>
        <v>3194532</v>
      </c>
      <c r="X14" s="170">
        <f>+AuxOPEXDrivers!F$14</f>
        <v>3273807</v>
      </c>
      <c r="Y14" s="170">
        <f t="shared" si="4"/>
        <v>3173312.75</v>
      </c>
      <c r="Z14" s="186">
        <f t="shared" si="5"/>
        <v>3166144</v>
      </c>
      <c r="AB14" s="199">
        <f t="shared" si="6"/>
        <v>55.376707578185908</v>
      </c>
      <c r="AC14" s="200">
        <f t="shared" si="7"/>
        <v>58.678349048573679</v>
      </c>
      <c r="AD14" s="200">
        <f t="shared" si="8"/>
        <v>62.221067038803817</v>
      </c>
      <c r="AE14" s="200">
        <f t="shared" si="9"/>
        <v>54.351563943751216</v>
      </c>
      <c r="AF14" s="200">
        <f t="shared" si="10"/>
        <v>57.656921902328655</v>
      </c>
      <c r="AG14" s="201">
        <f t="shared" si="11"/>
        <v>57.02752831337979</v>
      </c>
      <c r="AH14" s="206">
        <f t="shared" si="12"/>
        <v>54.351563943751216</v>
      </c>
      <c r="AK14" s="123"/>
      <c r="AL14" s="22"/>
      <c r="AM14" s="22"/>
    </row>
    <row r="15" spans="3:39" ht="15" hidden="1" customHeight="1">
      <c r="C15" s="220" t="s">
        <v>18</v>
      </c>
      <c r="D15" s="176" t="s">
        <v>19</v>
      </c>
      <c r="E15" s="177" t="s">
        <v>21</v>
      </c>
      <c r="G15" s="190">
        <f>AuxOPEXGlosas!F108*AuxOPEXGlosas!F$16</f>
        <v>104007917.59258763</v>
      </c>
      <c r="H15" s="181">
        <f>AuxOPEXGlosas!N108*AuxOPEXGlosas!G$16</f>
        <v>113694289.28407431</v>
      </c>
      <c r="I15" s="181">
        <f>AuxOPEXGlosas!V108*AuxOPEXGlosas!H$16</f>
        <v>120634154.40858325</v>
      </c>
      <c r="J15" s="181">
        <f>AuxOPEXGlosas!AD108*AuxOPEXGlosas!I$16</f>
        <v>108368957.25000007</v>
      </c>
      <c r="K15" s="170">
        <f t="shared" si="0"/>
        <v>111676329.63381131</v>
      </c>
      <c r="L15" s="186">
        <f t="shared" si="1"/>
        <v>111031623.26703718</v>
      </c>
      <c r="N15" s="185">
        <f>+G15+(G15*AuxOPEXGlosas!T$25)</f>
        <v>104007917.59258763</v>
      </c>
      <c r="O15" s="170">
        <f>+H15+(H15*AuxOPEXGlosas!U$25)</f>
        <v>113694289.28407431</v>
      </c>
      <c r="P15" s="170">
        <f>+I15+(I15*AuxOPEXGlosas!V$25)</f>
        <v>120634154.40858325</v>
      </c>
      <c r="Q15" s="170">
        <f>+J15+(J15*AuxOPEXGlosas!W$25)</f>
        <v>108368957.25000007</v>
      </c>
      <c r="R15" s="170">
        <f t="shared" si="2"/>
        <v>111676329.63381131</v>
      </c>
      <c r="S15" s="186">
        <f t="shared" si="3"/>
        <v>111676329.63381131</v>
      </c>
      <c r="U15" s="185">
        <f>+AuxOPEXDrivers!C$10</f>
        <v>494851646</v>
      </c>
      <c r="V15" s="170">
        <f>+AuxOPEXDrivers!D$10</f>
        <v>492349965</v>
      </c>
      <c r="W15" s="170">
        <f>+AuxOPEXDrivers!E$10</f>
        <v>509873761</v>
      </c>
      <c r="X15" s="170">
        <f>+AuxOPEXDrivers!F$10</f>
        <v>501095943</v>
      </c>
      <c r="Y15" s="170">
        <f t="shared" si="4"/>
        <v>499542828.75</v>
      </c>
      <c r="Z15" s="186">
        <f t="shared" si="5"/>
        <v>497973794.5</v>
      </c>
      <c r="AB15" s="199">
        <f t="shared" si="6"/>
        <v>0.21017999724424002</v>
      </c>
      <c r="AC15" s="200">
        <f t="shared" si="7"/>
        <v>0.23092169669205584</v>
      </c>
      <c r="AD15" s="200">
        <f t="shared" si="8"/>
        <v>0.23659612169880467</v>
      </c>
      <c r="AE15" s="200">
        <f t="shared" si="9"/>
        <v>0.21626388871003108</v>
      </c>
      <c r="AF15" s="200">
        <f t="shared" si="10"/>
        <v>0.22349042608628292</v>
      </c>
      <c r="AG15" s="201">
        <f t="shared" si="11"/>
        <v>0.22359279270104346</v>
      </c>
      <c r="AH15" s="206">
        <f t="shared" si="12"/>
        <v>0.21626388871003108</v>
      </c>
      <c r="AK15" s="123"/>
      <c r="AL15" s="22"/>
      <c r="AM15" s="22"/>
    </row>
    <row r="16" spans="3:39" ht="15" customHeight="1" thickBot="1">
      <c r="C16" s="221" t="s">
        <v>6</v>
      </c>
      <c r="D16" s="179" t="s">
        <v>19</v>
      </c>
      <c r="E16" s="180" t="s">
        <v>20</v>
      </c>
      <c r="G16" s="191">
        <f>AuxOPEXGlosas!F166*AuxOPEXGlosas!F$16</f>
        <v>27986556.467620771</v>
      </c>
      <c r="H16" s="192">
        <f>AuxOPEXGlosas!N166*AuxOPEXGlosas!G$16</f>
        <v>46856433.23264429</v>
      </c>
      <c r="I16" s="192">
        <f>AuxOPEXGlosas!V166*AuxOPEXGlosas!H$16</f>
        <v>39982826.111518092</v>
      </c>
      <c r="J16" s="192">
        <f>AuxOPEXGlosas!AD166*AuxOPEXGlosas!I$16</f>
        <v>27851221.210000012</v>
      </c>
      <c r="K16" s="188">
        <f t="shared" si="0"/>
        <v>35669259.255445793</v>
      </c>
      <c r="L16" s="189">
        <f t="shared" si="1"/>
        <v>33984691.28956943</v>
      </c>
      <c r="N16" s="187">
        <f>+G16+(G16*AuxOPEXGlosas!T$26)</f>
        <v>-684154.37715173513</v>
      </c>
      <c r="O16" s="188">
        <f>+H16+(H16*AuxOPEXGlosas!U$26)</f>
        <v>-2068867.1908089221</v>
      </c>
      <c r="P16" s="188">
        <f>+I16+(I16*AuxOPEXGlosas!V$26)</f>
        <v>-2373019.12846376</v>
      </c>
      <c r="Q16" s="188">
        <f>+J16+(J16*AuxOPEXGlosas!W$26)</f>
        <v>-1330450.19826952</v>
      </c>
      <c r="R16" s="188">
        <f t="shared" si="2"/>
        <v>-1614122.7236734843</v>
      </c>
      <c r="S16" s="189">
        <f t="shared" si="3"/>
        <v>-1614122.7236734843</v>
      </c>
      <c r="U16" s="187">
        <f>+AuxOPEXDrivers!C$14</f>
        <v>3087156</v>
      </c>
      <c r="V16" s="188">
        <f>+AuxOPEXDrivers!D$14</f>
        <v>3137756</v>
      </c>
      <c r="W16" s="188">
        <f>+AuxOPEXDrivers!E$14</f>
        <v>3194532</v>
      </c>
      <c r="X16" s="188">
        <f>+AuxOPEXDrivers!F$14</f>
        <v>3273807</v>
      </c>
      <c r="Y16" s="188">
        <f t="shared" si="4"/>
        <v>3173312.75</v>
      </c>
      <c r="Z16" s="189">
        <f t="shared" si="5"/>
        <v>3166144</v>
      </c>
      <c r="AB16" s="202">
        <f t="shared" si="6"/>
        <v>-0.22161315370902382</v>
      </c>
      <c r="AC16" s="203">
        <f t="shared" si="7"/>
        <v>-0.65934610301403995</v>
      </c>
      <c r="AD16" s="203">
        <f t="shared" si="8"/>
        <v>-0.74283780173864589</v>
      </c>
      <c r="AE16" s="203">
        <f t="shared" si="9"/>
        <v>-0.40639237385390159</v>
      </c>
      <c r="AF16" s="203">
        <f t="shared" si="10"/>
        <v>-0.50754735807890283</v>
      </c>
      <c r="AG16" s="204">
        <f t="shared" si="11"/>
        <v>-0.53286923843397083</v>
      </c>
      <c r="AH16" s="207">
        <f t="shared" si="12"/>
        <v>-0.53286923843397083</v>
      </c>
      <c r="AK16" s="123"/>
      <c r="AL16" s="22"/>
      <c r="AM16" s="22"/>
    </row>
    <row r="17" spans="3:39" ht="15" customHeight="1">
      <c r="C17" s="219" t="s">
        <v>2</v>
      </c>
      <c r="D17" s="173" t="s">
        <v>22</v>
      </c>
      <c r="E17" s="174" t="s">
        <v>23</v>
      </c>
      <c r="G17" s="182">
        <f>AuxOPEXGlosas!G58*AuxOPEXGlosas!F$16</f>
        <v>41751383.240706876</v>
      </c>
      <c r="H17" s="183">
        <f>AuxOPEXGlosas!O58*AuxOPEXGlosas!G$16</f>
        <v>39865060.608907364</v>
      </c>
      <c r="I17" s="183">
        <f>AuxOPEXGlosas!W58*AuxOPEXGlosas!H$16</f>
        <v>44422657.150428362</v>
      </c>
      <c r="J17" s="183">
        <f>AuxOPEXGlosas!AE58*AuxOPEXGlosas!I$16</f>
        <v>51774414.190000005</v>
      </c>
      <c r="K17" s="183">
        <f t="shared" si="0"/>
        <v>44453378.797510646</v>
      </c>
      <c r="L17" s="184">
        <f t="shared" si="1"/>
        <v>43087020.195567623</v>
      </c>
      <c r="N17" s="182">
        <f>+G17+(G17*AuxOPEXGlosas!T$21)</f>
        <v>38063291.661263369</v>
      </c>
      <c r="O17" s="183">
        <f>+H17+(H17*AuxOPEXGlosas!U$21)</f>
        <v>34195089.652323633</v>
      </c>
      <c r="P17" s="183">
        <f>+I17+(I17*AuxOPEXGlosas!V$21)</f>
        <v>40232555.022982687</v>
      </c>
      <c r="Q17" s="183">
        <f>+J17+(J17*AuxOPEXGlosas!W$21)</f>
        <v>47391360.877689406</v>
      </c>
      <c r="R17" s="183">
        <f t="shared" si="2"/>
        <v>39970574.303564772</v>
      </c>
      <c r="S17" s="184">
        <f t="shared" si="3"/>
        <v>39970574.303564772</v>
      </c>
      <c r="U17" s="182">
        <f>+AuxOPEXDrivers!C$26</f>
        <v>2040292</v>
      </c>
      <c r="V17" s="183">
        <f>+AuxOPEXDrivers!D$26</f>
        <v>2141050</v>
      </c>
      <c r="W17" s="183">
        <f>+AuxOPEXDrivers!E$26</f>
        <v>2231127</v>
      </c>
      <c r="X17" s="183">
        <f>+AuxOPEXDrivers!F$26</f>
        <v>2308138</v>
      </c>
      <c r="Y17" s="183">
        <f t="shared" si="4"/>
        <v>2180151.75</v>
      </c>
      <c r="Z17" s="184">
        <f t="shared" si="5"/>
        <v>2186088.5</v>
      </c>
      <c r="AB17" s="196">
        <f t="shared" si="6"/>
        <v>18.655805963687243</v>
      </c>
      <c r="AC17" s="197">
        <f t="shared" si="7"/>
        <v>15.971177530802006</v>
      </c>
      <c r="AD17" s="197">
        <f t="shared" si="8"/>
        <v>18.032391263689913</v>
      </c>
      <c r="AE17" s="197">
        <f t="shared" si="9"/>
        <v>20.532290910547552</v>
      </c>
      <c r="AF17" s="197">
        <f t="shared" si="10"/>
        <v>18.297916417181682</v>
      </c>
      <c r="AG17" s="198">
        <f t="shared" si="11"/>
        <v>18.34409861368858</v>
      </c>
      <c r="AH17" s="205">
        <f t="shared" si="12"/>
        <v>18.297916417181682</v>
      </c>
      <c r="AK17" s="123"/>
      <c r="AL17" s="22"/>
      <c r="AM17" s="22"/>
    </row>
    <row r="18" spans="3:39" ht="15" customHeight="1">
      <c r="C18" s="220" t="s">
        <v>3</v>
      </c>
      <c r="D18" s="176" t="s">
        <v>22</v>
      </c>
      <c r="E18" s="177" t="s">
        <v>23</v>
      </c>
      <c r="G18" s="190">
        <f>AuxOPEXGlosas!G73*AuxOPEXGlosas!F$16</f>
        <v>6196118.0996723343</v>
      </c>
      <c r="H18" s="181">
        <f>AuxOPEXGlosas!O73*AuxOPEXGlosas!G$16</f>
        <v>6201471.2358208383</v>
      </c>
      <c r="I18" s="181">
        <f>AuxOPEXGlosas!W73*AuxOPEXGlosas!H$16</f>
        <v>6061350.3584954292</v>
      </c>
      <c r="J18" s="181">
        <f>AuxOPEXGlosas!AE73*AuxOPEXGlosas!I$16</f>
        <v>5354005.6300000008</v>
      </c>
      <c r="K18" s="170">
        <f t="shared" si="0"/>
        <v>5953236.3309971504</v>
      </c>
      <c r="L18" s="186">
        <f t="shared" si="1"/>
        <v>6128734.2290838817</v>
      </c>
      <c r="N18" s="185">
        <f>+G18+(G18*AuxOPEXGlosas!T$22)</f>
        <v>6196118.0996723343</v>
      </c>
      <c r="O18" s="170">
        <f>+H18+(H18*AuxOPEXGlosas!U$22)</f>
        <v>6201471.2358208383</v>
      </c>
      <c r="P18" s="170">
        <f>+I18+(I18*AuxOPEXGlosas!V$22)</f>
        <v>6061350.3584954292</v>
      </c>
      <c r="Q18" s="170">
        <f>+J18+(J18*AuxOPEXGlosas!W$22)</f>
        <v>5354005.6300000008</v>
      </c>
      <c r="R18" s="170">
        <f t="shared" si="2"/>
        <v>5953236.3309971504</v>
      </c>
      <c r="S18" s="186">
        <f t="shared" si="3"/>
        <v>5953236.3309971504</v>
      </c>
      <c r="U18" s="185">
        <f>+AuxOPEXDrivers!C$26</f>
        <v>2040292</v>
      </c>
      <c r="V18" s="170">
        <f>+AuxOPEXDrivers!D$26</f>
        <v>2141050</v>
      </c>
      <c r="W18" s="170">
        <f>+AuxOPEXDrivers!E$26</f>
        <v>2231127</v>
      </c>
      <c r="X18" s="170">
        <f>+AuxOPEXDrivers!F$26</f>
        <v>2308138</v>
      </c>
      <c r="Y18" s="170">
        <f t="shared" si="4"/>
        <v>2180151.75</v>
      </c>
      <c r="Z18" s="186">
        <f t="shared" si="5"/>
        <v>2186088.5</v>
      </c>
      <c r="AB18" s="199">
        <f t="shared" si="6"/>
        <v>3.0368781035618109</v>
      </c>
      <c r="AC18" s="200">
        <f t="shared" si="7"/>
        <v>2.8964625935035793</v>
      </c>
      <c r="AD18" s="200">
        <f t="shared" si="8"/>
        <v>2.7167213513598414</v>
      </c>
      <c r="AE18" s="200">
        <f t="shared" si="9"/>
        <v>2.3196211101762549</v>
      </c>
      <c r="AF18" s="200">
        <f t="shared" si="10"/>
        <v>2.7424207896503714</v>
      </c>
      <c r="AG18" s="201">
        <f t="shared" si="11"/>
        <v>2.8065919724317103</v>
      </c>
      <c r="AH18" s="206">
        <f t="shared" si="12"/>
        <v>2.3196211101762549</v>
      </c>
      <c r="AK18" s="123"/>
      <c r="AL18" s="22"/>
      <c r="AM18" s="22"/>
    </row>
    <row r="19" spans="3:39" ht="15" customHeight="1">
      <c r="C19" s="220" t="s">
        <v>4</v>
      </c>
      <c r="D19" s="176" t="s">
        <v>22</v>
      </c>
      <c r="E19" s="177" t="s">
        <v>24</v>
      </c>
      <c r="G19" s="190">
        <f>AuxOPEXGlosas!G75*AuxOPEXGlosas!F$16</f>
        <v>122212.45233138702</v>
      </c>
      <c r="H19" s="181">
        <f>AuxOPEXGlosas!O75*AuxOPEXGlosas!G$16</f>
        <v>172050.87060232201</v>
      </c>
      <c r="I19" s="181">
        <f>AuxOPEXGlosas!W75*AuxOPEXGlosas!H$16</f>
        <v>250008.09571105498</v>
      </c>
      <c r="J19" s="181">
        <f>AuxOPEXGlosas!AE75*AuxOPEXGlosas!I$16</f>
        <v>180432.59000000003</v>
      </c>
      <c r="K19" s="170">
        <f t="shared" si="0"/>
        <v>181176.00216119102</v>
      </c>
      <c r="L19" s="186">
        <f t="shared" si="1"/>
        <v>176241.73030116101</v>
      </c>
      <c r="N19" s="185">
        <f>+G19+(G19*AuxOPEXGlosas!T$23)</f>
        <v>122212.45233138702</v>
      </c>
      <c r="O19" s="170">
        <f>+H19+(H19*AuxOPEXGlosas!U$23)</f>
        <v>172050.87060232201</v>
      </c>
      <c r="P19" s="170">
        <f>+I19+(I19*AuxOPEXGlosas!V$23)</f>
        <v>250008.09571105498</v>
      </c>
      <c r="Q19" s="170">
        <f>+J19+(J19*AuxOPEXGlosas!W$23)</f>
        <v>180432.59000000003</v>
      </c>
      <c r="R19" s="170">
        <f t="shared" si="2"/>
        <v>181176.00216119102</v>
      </c>
      <c r="S19" s="186">
        <f t="shared" si="3"/>
        <v>181176.00216119102</v>
      </c>
      <c r="U19" s="185">
        <f>+AuxOPEXDrivers!C$18</f>
        <v>355329189</v>
      </c>
      <c r="V19" s="170">
        <f>+AuxOPEXDrivers!D$18</f>
        <v>362380051</v>
      </c>
      <c r="W19" s="170">
        <f>+AuxOPEXDrivers!E$18</f>
        <v>382115054</v>
      </c>
      <c r="X19" s="170">
        <f>+AuxOPEXDrivers!F$18</f>
        <v>377326945</v>
      </c>
      <c r="Y19" s="170">
        <f t="shared" si="4"/>
        <v>369287809.75</v>
      </c>
      <c r="Z19" s="186">
        <f t="shared" si="5"/>
        <v>369853498</v>
      </c>
      <c r="AB19" s="199">
        <f t="shared" si="6"/>
        <v>3.4394149457670089E-4</v>
      </c>
      <c r="AC19" s="200">
        <f t="shared" si="7"/>
        <v>4.7478019313574747E-4</v>
      </c>
      <c r="AD19" s="200">
        <f t="shared" si="8"/>
        <v>6.5427439482940392E-4</v>
      </c>
      <c r="AE19" s="200">
        <f t="shared" si="9"/>
        <v>4.7818633784555201E-4</v>
      </c>
      <c r="AF19" s="200">
        <f t="shared" si="10"/>
        <v>4.8779560509685106E-4</v>
      </c>
      <c r="AG19" s="201">
        <f t="shared" si="11"/>
        <v>4.7648326549064974E-4</v>
      </c>
      <c r="AH19" s="206">
        <f t="shared" si="12"/>
        <v>4.7648326549064974E-4</v>
      </c>
      <c r="AK19" s="123"/>
      <c r="AL19" s="22"/>
      <c r="AM19" s="22"/>
    </row>
    <row r="20" spans="3:39" ht="15" customHeight="1">
      <c r="C20" s="220" t="s">
        <v>5</v>
      </c>
      <c r="D20" s="176" t="s">
        <v>22</v>
      </c>
      <c r="E20" s="177" t="s">
        <v>23</v>
      </c>
      <c r="G20" s="190">
        <f>AuxOPEXGlosas!G106*AuxOPEXGlosas!F$16</f>
        <v>51264486.927514575</v>
      </c>
      <c r="H20" s="181">
        <f>AuxOPEXGlosas!O106*AuxOPEXGlosas!G$16</f>
        <v>48123286.284096241</v>
      </c>
      <c r="I20" s="181">
        <f>AuxOPEXGlosas!W106*AuxOPEXGlosas!H$16</f>
        <v>50853678.359799914</v>
      </c>
      <c r="J20" s="181">
        <f>AuxOPEXGlosas!AE106*AuxOPEXGlosas!I$16</f>
        <v>48801162.209999993</v>
      </c>
      <c r="K20" s="170">
        <f t="shared" si="0"/>
        <v>49760653.445352688</v>
      </c>
      <c r="L20" s="186">
        <f t="shared" si="1"/>
        <v>49827420.28489995</v>
      </c>
      <c r="N20" s="185">
        <f>+G20+(G20*AuxOPEXGlosas!T$24)</f>
        <v>51264486.927514575</v>
      </c>
      <c r="O20" s="170">
        <f>+H20+(H20*AuxOPEXGlosas!U$24)</f>
        <v>48123286.284096241</v>
      </c>
      <c r="P20" s="170">
        <f>+I20+(I20*AuxOPEXGlosas!V$24)</f>
        <v>50853678.359799914</v>
      </c>
      <c r="Q20" s="170">
        <f>+J20+(J20*AuxOPEXGlosas!W$24)</f>
        <v>48801162.209999993</v>
      </c>
      <c r="R20" s="170">
        <f t="shared" si="2"/>
        <v>49760653.445352688</v>
      </c>
      <c r="S20" s="186">
        <f t="shared" si="3"/>
        <v>49760653.445352688</v>
      </c>
      <c r="U20" s="185">
        <f>+AuxOPEXDrivers!C$26</f>
        <v>2040292</v>
      </c>
      <c r="V20" s="170">
        <f>+AuxOPEXDrivers!D$26</f>
        <v>2141050</v>
      </c>
      <c r="W20" s="170">
        <f>+AuxOPEXDrivers!E$26</f>
        <v>2231127</v>
      </c>
      <c r="X20" s="170">
        <f>+AuxOPEXDrivers!F$26</f>
        <v>2308138</v>
      </c>
      <c r="Y20" s="170">
        <f t="shared" si="4"/>
        <v>2180151.75</v>
      </c>
      <c r="Z20" s="186">
        <f t="shared" si="5"/>
        <v>2186088.5</v>
      </c>
      <c r="AB20" s="199">
        <f t="shared" si="6"/>
        <v>25.126053980270754</v>
      </c>
      <c r="AC20" s="200">
        <f t="shared" si="7"/>
        <v>22.476488771442163</v>
      </c>
      <c r="AD20" s="200">
        <f t="shared" si="8"/>
        <v>22.792821009202935</v>
      </c>
      <c r="AE20" s="200">
        <f t="shared" si="9"/>
        <v>21.143086856158511</v>
      </c>
      <c r="AF20" s="200">
        <f t="shared" si="10"/>
        <v>22.884612654268594</v>
      </c>
      <c r="AG20" s="201">
        <f t="shared" si="11"/>
        <v>22.634654890322551</v>
      </c>
      <c r="AH20" s="206">
        <f t="shared" si="12"/>
        <v>21.143086856158511</v>
      </c>
      <c r="AK20" s="123"/>
      <c r="AL20" s="22"/>
      <c r="AM20" s="22"/>
    </row>
    <row r="21" spans="3:39" ht="15" hidden="1" customHeight="1">
      <c r="C21" s="220" t="s">
        <v>18</v>
      </c>
      <c r="D21" s="176" t="s">
        <v>22</v>
      </c>
      <c r="E21" s="177" t="s">
        <v>24</v>
      </c>
      <c r="G21" s="190">
        <f>AuxOPEXGlosas!G108*AuxOPEXGlosas!F$16</f>
        <v>2618528.595565307</v>
      </c>
      <c r="H21" s="181">
        <f>AuxOPEXGlosas!O108*AuxOPEXGlosas!G$16</f>
        <v>3076472.0376540185</v>
      </c>
      <c r="I21" s="181">
        <f>AuxOPEXGlosas!W108*AuxOPEXGlosas!H$16</f>
        <v>3486366.8192550037</v>
      </c>
      <c r="J21" s="181">
        <f>AuxOPEXGlosas!AE108*AuxOPEXGlosas!I$16</f>
        <v>3076099.1999999997</v>
      </c>
      <c r="K21" s="170">
        <f t="shared" si="0"/>
        <v>3064366.6631185822</v>
      </c>
      <c r="L21" s="186">
        <f t="shared" si="1"/>
        <v>3076285.6188270091</v>
      </c>
      <c r="N21" s="185">
        <f>+G21+(G21*AuxOPEXGlosas!T$25)</f>
        <v>2618528.595565307</v>
      </c>
      <c r="O21" s="170">
        <f>+H21+(H21*AuxOPEXGlosas!U$25)</f>
        <v>3076472.0376540185</v>
      </c>
      <c r="P21" s="170">
        <f>+I21+(I21*AuxOPEXGlosas!V$25)</f>
        <v>3486366.8192550037</v>
      </c>
      <c r="Q21" s="170">
        <f>+J21+(J21*AuxOPEXGlosas!W$25)</f>
        <v>3076099.1999999997</v>
      </c>
      <c r="R21" s="170">
        <f t="shared" si="2"/>
        <v>3064366.6631185822</v>
      </c>
      <c r="S21" s="186">
        <f t="shared" si="3"/>
        <v>3064366.6631185822</v>
      </c>
      <c r="U21" s="185">
        <f>+AuxOPEXDrivers!C$18</f>
        <v>355329189</v>
      </c>
      <c r="V21" s="170">
        <f>+AuxOPEXDrivers!D$18</f>
        <v>362380051</v>
      </c>
      <c r="W21" s="170">
        <f>+AuxOPEXDrivers!E$18</f>
        <v>382115054</v>
      </c>
      <c r="X21" s="170">
        <f>+AuxOPEXDrivers!F$18</f>
        <v>377326945</v>
      </c>
      <c r="Y21" s="170">
        <f t="shared" si="4"/>
        <v>369287809.75</v>
      </c>
      <c r="Z21" s="186">
        <f t="shared" si="5"/>
        <v>369853498</v>
      </c>
      <c r="AB21" s="199">
        <f t="shared" si="6"/>
        <v>7.3693033857832237E-3</v>
      </c>
      <c r="AC21" s="200">
        <f t="shared" si="7"/>
        <v>8.4896285796207324E-3</v>
      </c>
      <c r="AD21" s="200">
        <f t="shared" si="8"/>
        <v>9.1238667065312844E-3</v>
      </c>
      <c r="AE21" s="200">
        <f t="shared" si="9"/>
        <v>8.1523443813428156E-3</v>
      </c>
      <c r="AF21" s="200">
        <f t="shared" si="10"/>
        <v>8.2837857633195153E-3</v>
      </c>
      <c r="AG21" s="201">
        <f t="shared" si="11"/>
        <v>8.3209864804817749E-3</v>
      </c>
      <c r="AH21" s="206">
        <f t="shared" si="12"/>
        <v>8.1523443813428156E-3</v>
      </c>
      <c r="AK21" s="123"/>
      <c r="AL21" s="22"/>
      <c r="AM21" s="22"/>
    </row>
    <row r="22" spans="3:39" ht="15" customHeight="1" thickBot="1">
      <c r="C22" s="221" t="s">
        <v>6</v>
      </c>
      <c r="D22" s="179" t="s">
        <v>22</v>
      </c>
      <c r="E22" s="180" t="s">
        <v>23</v>
      </c>
      <c r="G22" s="191">
        <f>AuxOPEXGlosas!G166*AuxOPEXGlosas!F$16</f>
        <v>2959061.3482132321</v>
      </c>
      <c r="H22" s="192">
        <f>AuxOPEXGlosas!O166*AuxOPEXGlosas!G$16</f>
        <v>16325110.817875832</v>
      </c>
      <c r="I22" s="192">
        <f>AuxOPEXGlosas!W166*AuxOPEXGlosas!H$16</f>
        <v>3586936.1631935192</v>
      </c>
      <c r="J22" s="192">
        <f>AuxOPEXGlosas!AE166*AuxOPEXGlosas!I$16</f>
        <v>4713335.32</v>
      </c>
      <c r="K22" s="188">
        <f t="shared" si="0"/>
        <v>6896110.9123206465</v>
      </c>
      <c r="L22" s="189">
        <f t="shared" si="1"/>
        <v>4150135.7415967598</v>
      </c>
      <c r="N22" s="187">
        <f>+G22+(G22*AuxOPEXGlosas!T$26)</f>
        <v>-72336.686936915386</v>
      </c>
      <c r="O22" s="188">
        <f>+H22+(H22*AuxOPEXGlosas!U$26)</f>
        <v>-720807.87689774111</v>
      </c>
      <c r="P22" s="188">
        <f>+I22+(I22*AuxOPEXGlosas!V$26)</f>
        <v>-212888.10611075209</v>
      </c>
      <c r="Q22" s="188">
        <f>+J22+(J22*AuxOPEXGlosas!W$26)</f>
        <v>-225155.5816429751</v>
      </c>
      <c r="R22" s="188">
        <f t="shared" si="2"/>
        <v>-307797.06289709592</v>
      </c>
      <c r="S22" s="189">
        <f t="shared" si="3"/>
        <v>-307797.06289709592</v>
      </c>
      <c r="U22" s="187">
        <f>+AuxOPEXDrivers!C$26</f>
        <v>2040292</v>
      </c>
      <c r="V22" s="188">
        <f>+AuxOPEXDrivers!D$26</f>
        <v>2141050</v>
      </c>
      <c r="W22" s="188">
        <f>+AuxOPEXDrivers!E$26</f>
        <v>2231127</v>
      </c>
      <c r="X22" s="188">
        <f>+AuxOPEXDrivers!F$26</f>
        <v>2308138</v>
      </c>
      <c r="Y22" s="188">
        <f t="shared" si="4"/>
        <v>2180151.75</v>
      </c>
      <c r="Z22" s="189">
        <f t="shared" si="5"/>
        <v>2186088.5</v>
      </c>
      <c r="AB22" s="202">
        <f t="shared" si="6"/>
        <v>-3.5454085462725625E-2</v>
      </c>
      <c r="AC22" s="203">
        <f t="shared" si="7"/>
        <v>-0.33666092660037883</v>
      </c>
      <c r="AD22" s="203">
        <f t="shared" si="8"/>
        <v>-9.5417296330846293E-2</v>
      </c>
      <c r="AE22" s="203">
        <f t="shared" si="9"/>
        <v>-9.754857882976456E-2</v>
      </c>
      <c r="AF22" s="203">
        <f t="shared" si="10"/>
        <v>-0.14127022180592883</v>
      </c>
      <c r="AG22" s="204">
        <f t="shared" si="11"/>
        <v>-9.6482937580305433E-2</v>
      </c>
      <c r="AH22" s="207">
        <f t="shared" si="12"/>
        <v>-0.14127022180592883</v>
      </c>
      <c r="AK22" s="123"/>
      <c r="AL22" s="22"/>
      <c r="AM22" s="22"/>
    </row>
    <row r="23" spans="3:39" ht="15" customHeight="1">
      <c r="C23" s="219" t="s">
        <v>2</v>
      </c>
      <c r="D23" s="173" t="s">
        <v>25</v>
      </c>
      <c r="E23" s="174" t="s">
        <v>26</v>
      </c>
      <c r="G23" s="182">
        <f>AuxOPEXGlosas!H58*AuxOPEXGlosas!F$16</f>
        <v>67054834.449242063</v>
      </c>
      <c r="H23" s="183">
        <f>AuxOPEXGlosas!P58*AuxOPEXGlosas!G$16</f>
        <v>65250160.986748815</v>
      </c>
      <c r="I23" s="183">
        <f>AuxOPEXGlosas!X58*AuxOPEXGlosas!H$16</f>
        <v>71273403.572542071</v>
      </c>
      <c r="J23" s="183">
        <f>AuxOPEXGlosas!AF58*AuxOPEXGlosas!I$16</f>
        <v>78566853.400000036</v>
      </c>
      <c r="K23" s="183">
        <f t="shared" si="0"/>
        <v>70536313.102133244</v>
      </c>
      <c r="L23" s="184">
        <f t="shared" si="1"/>
        <v>69164119.010892063</v>
      </c>
      <c r="N23" s="182">
        <f>+G23+(G23*AuxOPEXGlosas!T$21)</f>
        <v>61131572.724775158</v>
      </c>
      <c r="O23" s="183">
        <f>+H23+(H23*AuxOPEXGlosas!U$21)</f>
        <v>55969690.518214919</v>
      </c>
      <c r="P23" s="183">
        <f>+I23+(I23*AuxOPEXGlosas!V$21)</f>
        <v>64550644.082304716</v>
      </c>
      <c r="Q23" s="183">
        <f>+J23+(J23*AuxOPEXGlosas!W$21)</f>
        <v>71915639.428385392</v>
      </c>
      <c r="R23" s="183">
        <f t="shared" si="2"/>
        <v>63391886.688420042</v>
      </c>
      <c r="S23" s="184">
        <f t="shared" si="3"/>
        <v>63391886.688420042</v>
      </c>
      <c r="U23" s="182">
        <f>+AuxOPEXDrivers!C$22</f>
        <v>355312711</v>
      </c>
      <c r="V23" s="183">
        <f>+AuxOPEXDrivers!D$22</f>
        <v>362380051</v>
      </c>
      <c r="W23" s="183">
        <f>+AuxOPEXDrivers!E$22</f>
        <v>382115054</v>
      </c>
      <c r="X23" s="183">
        <f>+AuxOPEXDrivers!F$22</f>
        <v>377326945</v>
      </c>
      <c r="Y23" s="183">
        <f t="shared" si="4"/>
        <v>369283690.25</v>
      </c>
      <c r="Z23" s="184">
        <f t="shared" si="5"/>
        <v>369853498</v>
      </c>
      <c r="AB23" s="196">
        <f t="shared" si="6"/>
        <v>0.17205005853217326</v>
      </c>
      <c r="AC23" s="197">
        <f t="shared" si="7"/>
        <v>0.15445025288716824</v>
      </c>
      <c r="AD23" s="197">
        <f t="shared" si="8"/>
        <v>0.16892986394172452</v>
      </c>
      <c r="AE23" s="197">
        <f t="shared" si="9"/>
        <v>0.19059237719793742</v>
      </c>
      <c r="AF23" s="197">
        <f t="shared" si="10"/>
        <v>0.17150563813975087</v>
      </c>
      <c r="AG23" s="198">
        <f t="shared" si="11"/>
        <v>0.17048996123694887</v>
      </c>
      <c r="AH23" s="205">
        <f t="shared" si="12"/>
        <v>0.17048996123694887</v>
      </c>
      <c r="AK23" s="123"/>
      <c r="AL23" s="22"/>
      <c r="AM23" s="22"/>
    </row>
    <row r="24" spans="3:39" ht="15" customHeight="1">
      <c r="C24" s="220" t="s">
        <v>3</v>
      </c>
      <c r="D24" s="176" t="s">
        <v>25</v>
      </c>
      <c r="E24" s="177" t="s">
        <v>26</v>
      </c>
      <c r="G24" s="190">
        <f>AuxOPEXGlosas!H73*AuxOPEXGlosas!F$16</f>
        <v>5003667.556925416</v>
      </c>
      <c r="H24" s="181">
        <f>AuxOPEXGlosas!P73*AuxOPEXGlosas!G$16</f>
        <v>3901918.5865116194</v>
      </c>
      <c r="I24" s="181">
        <f>AuxOPEXGlosas!X73*AuxOPEXGlosas!H$16</f>
        <v>4939510.9689866779</v>
      </c>
      <c r="J24" s="181">
        <f>AuxOPEXGlosas!AF73*AuxOPEXGlosas!I$16</f>
        <v>6013064.9100000011</v>
      </c>
      <c r="K24" s="170">
        <f t="shared" si="0"/>
        <v>4964540.5056059286</v>
      </c>
      <c r="L24" s="186">
        <f t="shared" si="1"/>
        <v>4971589.2629560474</v>
      </c>
      <c r="N24" s="185">
        <f>+G24+(G24*AuxOPEXGlosas!T$22)</f>
        <v>5003667.556925416</v>
      </c>
      <c r="O24" s="170">
        <f>+H24+(H24*AuxOPEXGlosas!U$22)</f>
        <v>3901918.5865116194</v>
      </c>
      <c r="P24" s="170">
        <f>+I24+(I24*AuxOPEXGlosas!V$22)</f>
        <v>4939510.9689866779</v>
      </c>
      <c r="Q24" s="170">
        <f>+J24+(J24*AuxOPEXGlosas!W$22)</f>
        <v>6013064.9100000011</v>
      </c>
      <c r="R24" s="170">
        <f t="shared" si="2"/>
        <v>4964540.5056059286</v>
      </c>
      <c r="S24" s="186">
        <f t="shared" si="3"/>
        <v>4964540.5056059286</v>
      </c>
      <c r="U24" s="185">
        <f>+AuxOPEXDrivers!C$22</f>
        <v>355312711</v>
      </c>
      <c r="V24" s="170">
        <f>+AuxOPEXDrivers!D$22</f>
        <v>362380051</v>
      </c>
      <c r="W24" s="170">
        <f>+AuxOPEXDrivers!E$22</f>
        <v>382115054</v>
      </c>
      <c r="X24" s="170">
        <f>+AuxOPEXDrivers!F$22</f>
        <v>377326945</v>
      </c>
      <c r="Y24" s="170">
        <f t="shared" si="4"/>
        <v>369283690.25</v>
      </c>
      <c r="Z24" s="186">
        <f t="shared" si="5"/>
        <v>369853498</v>
      </c>
      <c r="AB24" s="199">
        <f t="shared" si="6"/>
        <v>1.4082433310204362E-2</v>
      </c>
      <c r="AC24" s="200">
        <f t="shared" si="7"/>
        <v>1.0767476233153958E-2</v>
      </c>
      <c r="AD24" s="200">
        <f t="shared" si="8"/>
        <v>1.2926763594576092E-2</v>
      </c>
      <c r="AE24" s="200">
        <f t="shared" si="9"/>
        <v>1.5935954189542443E-2</v>
      </c>
      <c r="AF24" s="200">
        <f t="shared" si="10"/>
        <v>1.3428156831869213E-2</v>
      </c>
      <c r="AG24" s="201">
        <f t="shared" si="11"/>
        <v>1.3504598452390227E-2</v>
      </c>
      <c r="AH24" s="206">
        <f t="shared" si="12"/>
        <v>1.3428156831869213E-2</v>
      </c>
      <c r="AK24" s="123"/>
      <c r="AL24" s="22"/>
      <c r="AM24" s="22"/>
    </row>
    <row r="25" spans="3:39" ht="15" customHeight="1">
      <c r="C25" s="220" t="s">
        <v>4</v>
      </c>
      <c r="D25" s="176" t="s">
        <v>25</v>
      </c>
      <c r="E25" s="177" t="s">
        <v>26</v>
      </c>
      <c r="G25" s="190">
        <f>AuxOPEXGlosas!H75*AuxOPEXGlosas!F$16</f>
        <v>27860825.201890096</v>
      </c>
      <c r="H25" s="181">
        <f>AuxOPEXGlosas!P75*AuxOPEXGlosas!G$16</f>
        <v>30898589.605783772</v>
      </c>
      <c r="I25" s="181">
        <f>AuxOPEXGlosas!X75*AuxOPEXGlosas!H$16</f>
        <v>55623767.611965641</v>
      </c>
      <c r="J25" s="181">
        <f>AuxOPEXGlosas!AF75*AuxOPEXGlosas!I$16</f>
        <v>65328429.479999989</v>
      </c>
      <c r="K25" s="170">
        <f t="shared" si="0"/>
        <v>44927902.974909872</v>
      </c>
      <c r="L25" s="186">
        <f t="shared" si="1"/>
        <v>43261178.608874708</v>
      </c>
      <c r="N25" s="185">
        <f>+G25+(G25*AuxOPEXGlosas!T$23)</f>
        <v>27860825.201890096</v>
      </c>
      <c r="O25" s="170">
        <f>+H25+(H25*AuxOPEXGlosas!U$23)</f>
        <v>30898589.605783772</v>
      </c>
      <c r="P25" s="170">
        <f>+I25+(I25*AuxOPEXGlosas!V$23)</f>
        <v>55623767.611965641</v>
      </c>
      <c r="Q25" s="170">
        <f>+J25+(J25*AuxOPEXGlosas!W$23)</f>
        <v>65328429.479999989</v>
      </c>
      <c r="R25" s="170">
        <f t="shared" si="2"/>
        <v>44927902.974909872</v>
      </c>
      <c r="S25" s="186">
        <f t="shared" si="3"/>
        <v>44927902.974909872</v>
      </c>
      <c r="U25" s="185">
        <f>+AuxOPEXDrivers!C$22</f>
        <v>355312711</v>
      </c>
      <c r="V25" s="170">
        <f>+AuxOPEXDrivers!D$22</f>
        <v>362380051</v>
      </c>
      <c r="W25" s="170">
        <f>+AuxOPEXDrivers!E$22</f>
        <v>382115054</v>
      </c>
      <c r="X25" s="170">
        <f>+AuxOPEXDrivers!F$22</f>
        <v>377326945</v>
      </c>
      <c r="Y25" s="170">
        <f t="shared" si="4"/>
        <v>369283690.25</v>
      </c>
      <c r="Z25" s="186">
        <f t="shared" si="5"/>
        <v>369853498</v>
      </c>
      <c r="AB25" s="199">
        <f t="shared" si="6"/>
        <v>7.8412126387142109E-2</v>
      </c>
      <c r="AC25" s="200">
        <f t="shared" si="7"/>
        <v>8.526570245938779E-2</v>
      </c>
      <c r="AD25" s="200">
        <f t="shared" si="8"/>
        <v>0.14556811366025282</v>
      </c>
      <c r="AE25" s="200">
        <f t="shared" si="9"/>
        <v>0.17313481145641477</v>
      </c>
      <c r="AF25" s="200">
        <f t="shared" si="10"/>
        <v>0.12059518849079937</v>
      </c>
      <c r="AG25" s="201">
        <f t="shared" si="11"/>
        <v>0.1154169080598203</v>
      </c>
      <c r="AH25" s="206">
        <f t="shared" si="12"/>
        <v>0.1154169080598203</v>
      </c>
      <c r="AK25" s="123"/>
      <c r="AL25" s="22"/>
      <c r="AM25" s="22"/>
    </row>
    <row r="26" spans="3:39" ht="15" customHeight="1">
      <c r="C26" s="220" t="s">
        <v>5</v>
      </c>
      <c r="D26" s="176" t="s">
        <v>25</v>
      </c>
      <c r="E26" s="177" t="s">
        <v>26</v>
      </c>
      <c r="G26" s="190">
        <f>AuxOPEXGlosas!H106*AuxOPEXGlosas!F$16</f>
        <v>101960896.64847597</v>
      </c>
      <c r="H26" s="181">
        <f>AuxOPEXGlosas!P106*AuxOPEXGlosas!G$16</f>
        <v>109855863.19291344</v>
      </c>
      <c r="I26" s="181">
        <f>AuxOPEXGlosas!X106*AuxOPEXGlosas!H$16</f>
        <v>119663667.12084542</v>
      </c>
      <c r="J26" s="181">
        <f>AuxOPEXGlosas!AF106*AuxOPEXGlosas!I$16</f>
        <v>131699442.31</v>
      </c>
      <c r="K26" s="170">
        <f t="shared" si="0"/>
        <v>115794967.31805871</v>
      </c>
      <c r="L26" s="186">
        <f t="shared" si="1"/>
        <v>114759765.15687943</v>
      </c>
      <c r="N26" s="185">
        <f>+G26+(G26*AuxOPEXGlosas!T$24)</f>
        <v>101960896.64847597</v>
      </c>
      <c r="O26" s="170">
        <f>+H26+(H26*AuxOPEXGlosas!U$24)</f>
        <v>109855863.19291344</v>
      </c>
      <c r="P26" s="170">
        <f>+I26+(I26*AuxOPEXGlosas!V$24)</f>
        <v>119663667.12084542</v>
      </c>
      <c r="Q26" s="170">
        <f>+J26+(J26*AuxOPEXGlosas!W$24)</f>
        <v>131699442.31</v>
      </c>
      <c r="R26" s="170">
        <f t="shared" si="2"/>
        <v>115794967.31805871</v>
      </c>
      <c r="S26" s="186">
        <f t="shared" si="3"/>
        <v>115794967.31805871</v>
      </c>
      <c r="U26" s="185">
        <f>+AuxOPEXDrivers!C$22</f>
        <v>355312711</v>
      </c>
      <c r="V26" s="170">
        <f>+AuxOPEXDrivers!D$22</f>
        <v>362380051</v>
      </c>
      <c r="W26" s="170">
        <f>+AuxOPEXDrivers!E$22</f>
        <v>382115054</v>
      </c>
      <c r="X26" s="170">
        <f>+AuxOPEXDrivers!F$22</f>
        <v>377326945</v>
      </c>
      <c r="Y26" s="170">
        <f t="shared" si="4"/>
        <v>369283690.25</v>
      </c>
      <c r="Z26" s="186">
        <f t="shared" si="5"/>
        <v>369853498</v>
      </c>
      <c r="AB26" s="199">
        <f t="shared" si="6"/>
        <v>0.28696101628763843</v>
      </c>
      <c r="AC26" s="200">
        <f t="shared" si="7"/>
        <v>0.30315096785753654</v>
      </c>
      <c r="AD26" s="200">
        <f t="shared" si="8"/>
        <v>0.31316135249893984</v>
      </c>
      <c r="AE26" s="200">
        <f t="shared" si="9"/>
        <v>0.34903269977181195</v>
      </c>
      <c r="AF26" s="200">
        <f t="shared" si="10"/>
        <v>0.31307650910398166</v>
      </c>
      <c r="AG26" s="201">
        <f t="shared" si="11"/>
        <v>0.30815616017823821</v>
      </c>
      <c r="AH26" s="206">
        <f t="shared" si="12"/>
        <v>0.30815616017823821</v>
      </c>
      <c r="AK26" s="123"/>
      <c r="AL26" s="22"/>
      <c r="AM26" s="22"/>
    </row>
    <row r="27" spans="3:39" ht="15" hidden="1" customHeight="1">
      <c r="C27" s="220" t="s">
        <v>18</v>
      </c>
      <c r="D27" s="176" t="s">
        <v>25</v>
      </c>
      <c r="E27" s="177" t="s">
        <v>26</v>
      </c>
      <c r="G27" s="190">
        <f>AuxOPEXGlosas!H108*AuxOPEXGlosas!F$16</f>
        <v>38796218.137872681</v>
      </c>
      <c r="H27" s="181">
        <f>AuxOPEXGlosas!P108*AuxOPEXGlosas!G$16</f>
        <v>43084667.405007906</v>
      </c>
      <c r="I27" s="181">
        <f>AuxOPEXGlosas!X108*AuxOPEXGlosas!H$16</f>
        <v>50196038.988619089</v>
      </c>
      <c r="J27" s="181">
        <f>AuxOPEXGlosas!AF108*AuxOPEXGlosas!I$16</f>
        <v>45767816.859999955</v>
      </c>
      <c r="K27" s="170">
        <f t="shared" si="0"/>
        <v>44461185.34787491</v>
      </c>
      <c r="L27" s="186">
        <f t="shared" si="1"/>
        <v>44426242.132503927</v>
      </c>
      <c r="N27" s="185">
        <f>+G27+(G27*AuxOPEXGlosas!T$25)</f>
        <v>38796218.137872681</v>
      </c>
      <c r="O27" s="170">
        <f>+H27+(H27*AuxOPEXGlosas!U$25)</f>
        <v>43084667.405007906</v>
      </c>
      <c r="P27" s="170">
        <f>+I27+(I27*AuxOPEXGlosas!V$25)</f>
        <v>50196038.988619089</v>
      </c>
      <c r="Q27" s="170">
        <f>+J27+(J27*AuxOPEXGlosas!W$25)</f>
        <v>45767816.859999955</v>
      </c>
      <c r="R27" s="170">
        <f t="shared" si="2"/>
        <v>44461185.34787491</v>
      </c>
      <c r="S27" s="186">
        <f t="shared" si="3"/>
        <v>44461185.34787491</v>
      </c>
      <c r="U27" s="185">
        <f>+AuxOPEXDrivers!C$22</f>
        <v>355312711</v>
      </c>
      <c r="V27" s="170">
        <f>+AuxOPEXDrivers!D$22</f>
        <v>362380051</v>
      </c>
      <c r="W27" s="170">
        <f>+AuxOPEXDrivers!E$22</f>
        <v>382115054</v>
      </c>
      <c r="X27" s="170">
        <f>+AuxOPEXDrivers!F$22</f>
        <v>377326945</v>
      </c>
      <c r="Y27" s="170">
        <f t="shared" si="4"/>
        <v>369283690.25</v>
      </c>
      <c r="Z27" s="186">
        <f t="shared" si="5"/>
        <v>369853498</v>
      </c>
      <c r="AB27" s="199">
        <f t="shared" si="6"/>
        <v>0.10918893959263022</v>
      </c>
      <c r="AC27" s="200">
        <f t="shared" si="7"/>
        <v>0.11889359606334375</v>
      </c>
      <c r="AD27" s="200">
        <f t="shared" si="8"/>
        <v>0.13136367819892039</v>
      </c>
      <c r="AE27" s="200">
        <f t="shared" si="9"/>
        <v>0.1212948544133257</v>
      </c>
      <c r="AF27" s="200">
        <f t="shared" si="10"/>
        <v>0.12018526706705503</v>
      </c>
      <c r="AG27" s="201">
        <f t="shared" si="11"/>
        <v>0.12009422523833473</v>
      </c>
      <c r="AH27" s="206">
        <f t="shared" si="12"/>
        <v>0.12009422523833473</v>
      </c>
      <c r="AK27" s="123"/>
      <c r="AL27" s="22"/>
      <c r="AM27" s="22"/>
    </row>
    <row r="28" spans="3:39" ht="15" customHeight="1" thickBot="1">
      <c r="C28" s="221" t="s">
        <v>6</v>
      </c>
      <c r="D28" s="179" t="s">
        <v>25</v>
      </c>
      <c r="E28" s="180" t="s">
        <v>26</v>
      </c>
      <c r="G28" s="191">
        <f>AuxOPEXGlosas!H166*AuxOPEXGlosas!F$16</f>
        <v>32818588.555605121</v>
      </c>
      <c r="H28" s="192">
        <f>AuxOPEXGlosas!P166*AuxOPEXGlosas!G$16</f>
        <v>35336569.437365025</v>
      </c>
      <c r="I28" s="192">
        <f>AuxOPEXGlosas!X166*AuxOPEXGlosas!H$16</f>
        <v>46878695.039019659</v>
      </c>
      <c r="J28" s="192">
        <f>AuxOPEXGlosas!AF166*AuxOPEXGlosas!I$16</f>
        <v>41297831.620000005</v>
      </c>
      <c r="K28" s="188">
        <f t="shared" si="0"/>
        <v>39082921.162997454</v>
      </c>
      <c r="L28" s="189">
        <f t="shared" si="1"/>
        <v>38317200.528682515</v>
      </c>
      <c r="N28" s="187">
        <f>+G28+(G28*AuxOPEXGlosas!T$26)</f>
        <v>-802277.37336088717</v>
      </c>
      <c r="O28" s="188">
        <f>+H28+(H28*AuxOPEXGlosas!U$26)</f>
        <v>-1560226.9336577132</v>
      </c>
      <c r="P28" s="188">
        <f>+I28+(I28*AuxOPEXGlosas!V$26)</f>
        <v>-2782295.571972236</v>
      </c>
      <c r="Q28" s="188">
        <f>+J28+(J28*AuxOPEXGlosas!W$26)</f>
        <v>-1972793.5034748912</v>
      </c>
      <c r="R28" s="188">
        <f t="shared" si="2"/>
        <v>-1779398.3456164319</v>
      </c>
      <c r="S28" s="189">
        <f t="shared" si="3"/>
        <v>-1779398.3456164319</v>
      </c>
      <c r="U28" s="187">
        <f>+AuxOPEXDrivers!C$22</f>
        <v>355312711</v>
      </c>
      <c r="V28" s="188">
        <f>+AuxOPEXDrivers!D$22</f>
        <v>362380051</v>
      </c>
      <c r="W28" s="188">
        <f>+AuxOPEXDrivers!E$22</f>
        <v>382115054</v>
      </c>
      <c r="X28" s="188">
        <f>+AuxOPEXDrivers!F$22</f>
        <v>377326945</v>
      </c>
      <c r="Y28" s="188">
        <f t="shared" si="4"/>
        <v>369283690.25</v>
      </c>
      <c r="Z28" s="189">
        <f t="shared" si="5"/>
        <v>369853498</v>
      </c>
      <c r="AB28" s="202">
        <f t="shared" si="6"/>
        <v>-2.2579472912830499E-3</v>
      </c>
      <c r="AC28" s="203">
        <f t="shared" si="7"/>
        <v>-4.3054989626283629E-3</v>
      </c>
      <c r="AD28" s="203">
        <f t="shared" si="8"/>
        <v>-7.2813032170468634E-3</v>
      </c>
      <c r="AE28" s="203">
        <f t="shared" si="9"/>
        <v>-5.2283398511995772E-3</v>
      </c>
      <c r="AF28" s="203">
        <f t="shared" si="10"/>
        <v>-4.7682723305394635E-3</v>
      </c>
      <c r="AG28" s="204">
        <f t="shared" si="11"/>
        <v>-4.7669194069139701E-3</v>
      </c>
      <c r="AH28" s="207">
        <f t="shared" si="12"/>
        <v>-5.2283398511995772E-3</v>
      </c>
      <c r="AK28" s="123"/>
      <c r="AL28" s="22"/>
      <c r="AM28" s="22"/>
    </row>
    <row r="29" spans="3:39" ht="15" customHeight="1">
      <c r="C29" s="219" t="s">
        <v>2</v>
      </c>
      <c r="D29" s="173" t="s">
        <v>27</v>
      </c>
      <c r="E29" s="174" t="s">
        <v>20</v>
      </c>
      <c r="G29" s="182">
        <f>AuxOPEXGlosas!I58*AuxOPEXGlosas!F$16</f>
        <v>131182551.58681826</v>
      </c>
      <c r="H29" s="183">
        <f>AuxOPEXGlosas!Q58*AuxOPEXGlosas!G$16</f>
        <v>128041268.61876544</v>
      </c>
      <c r="I29" s="183">
        <f>AuxOPEXGlosas!Y58*AuxOPEXGlosas!H$16</f>
        <v>134312704.60349539</v>
      </c>
      <c r="J29" s="183">
        <f>AuxOPEXGlosas!AG58*AuxOPEXGlosas!I$16</f>
        <v>147310363.41</v>
      </c>
      <c r="K29" s="183">
        <f t="shared" si="0"/>
        <v>135211722.05476975</v>
      </c>
      <c r="L29" s="184">
        <f t="shared" si="1"/>
        <v>132747628.09515682</v>
      </c>
      <c r="N29" s="182">
        <f>+G29+(G29*AuxOPEXGlosas!T$21)</f>
        <v>119594593.86364639</v>
      </c>
      <c r="O29" s="183">
        <f>+H29+(H29*AuxOPEXGlosas!U$21)</f>
        <v>109830076.5818387</v>
      </c>
      <c r="P29" s="183">
        <f>+I29+(I29*AuxOPEXGlosas!V$21)</f>
        <v>121643855.29544221</v>
      </c>
      <c r="Q29" s="183">
        <f>+J29+(J29*AuxOPEXGlosas!W$21)</f>
        <v>134839547.73041695</v>
      </c>
      <c r="R29" s="183">
        <f t="shared" si="2"/>
        <v>121477018.36783606</v>
      </c>
      <c r="S29" s="184">
        <f t="shared" si="3"/>
        <v>121477018.36783606</v>
      </c>
      <c r="U29" s="182">
        <f>+AuxOPEXDrivers!C$14</f>
        <v>3087156</v>
      </c>
      <c r="V29" s="183">
        <f>+AuxOPEXDrivers!D$14</f>
        <v>3137756</v>
      </c>
      <c r="W29" s="183">
        <f>+AuxOPEXDrivers!E$14</f>
        <v>3194532</v>
      </c>
      <c r="X29" s="183">
        <f>+AuxOPEXDrivers!F$14</f>
        <v>3273807</v>
      </c>
      <c r="Y29" s="183">
        <f t="shared" si="4"/>
        <v>3173312.75</v>
      </c>
      <c r="Z29" s="184">
        <f t="shared" si="5"/>
        <v>3166144</v>
      </c>
      <c r="AB29" s="196">
        <f t="shared" si="6"/>
        <v>38.739407358632469</v>
      </c>
      <c r="AC29" s="197">
        <f t="shared" si="7"/>
        <v>35.002746096840767</v>
      </c>
      <c r="AD29" s="197">
        <f t="shared" si="8"/>
        <v>38.078771881277824</v>
      </c>
      <c r="AE29" s="197">
        <f t="shared" si="9"/>
        <v>41.187384513020149</v>
      </c>
      <c r="AF29" s="197">
        <f t="shared" si="10"/>
        <v>38.252077462442799</v>
      </c>
      <c r="AG29" s="198">
        <f t="shared" si="11"/>
        <v>38.409089619955147</v>
      </c>
      <c r="AH29" s="205">
        <f t="shared" si="12"/>
        <v>38.252077462442799</v>
      </c>
      <c r="AK29" s="123"/>
      <c r="AL29" s="22"/>
      <c r="AM29" s="22"/>
    </row>
    <row r="30" spans="3:39" ht="15" customHeight="1">
      <c r="C30" s="220" t="s">
        <v>3</v>
      </c>
      <c r="D30" s="176" t="s">
        <v>27</v>
      </c>
      <c r="E30" s="177" t="s">
        <v>20</v>
      </c>
      <c r="G30" s="190">
        <f>AuxOPEXGlosas!I73*AuxOPEXGlosas!F$16</f>
        <v>4466904.0726734251</v>
      </c>
      <c r="H30" s="181">
        <f>AuxOPEXGlosas!Q73*AuxOPEXGlosas!G$16</f>
        <v>3947388.1538317013</v>
      </c>
      <c r="I30" s="181">
        <f>AuxOPEXGlosas!Y73*AuxOPEXGlosas!H$16</f>
        <v>4417853.1720033921</v>
      </c>
      <c r="J30" s="181">
        <f>AuxOPEXGlosas!AG73*AuxOPEXGlosas!I$16</f>
        <v>3167068.2999999993</v>
      </c>
      <c r="K30" s="170">
        <f t="shared" si="0"/>
        <v>3999803.4246271295</v>
      </c>
      <c r="L30" s="186">
        <f t="shared" si="1"/>
        <v>4182620.6629175469</v>
      </c>
      <c r="N30" s="185">
        <f>+G30+(G30*AuxOPEXGlosas!T$22)</f>
        <v>4466904.0726734251</v>
      </c>
      <c r="O30" s="170">
        <f>+H30+(H30*AuxOPEXGlosas!U$22)</f>
        <v>3947388.1538317013</v>
      </c>
      <c r="P30" s="170">
        <f>+I30+(I30*AuxOPEXGlosas!V$22)</f>
        <v>4417853.1720033921</v>
      </c>
      <c r="Q30" s="170">
        <f>+J30+(J30*AuxOPEXGlosas!W$22)</f>
        <v>3167068.2999999993</v>
      </c>
      <c r="R30" s="170">
        <f t="shared" si="2"/>
        <v>3999803.4246271295</v>
      </c>
      <c r="S30" s="186">
        <f t="shared" si="3"/>
        <v>3999803.4246271295</v>
      </c>
      <c r="U30" s="185">
        <f>+AuxOPEXDrivers!C$14</f>
        <v>3087156</v>
      </c>
      <c r="V30" s="170">
        <f>+AuxOPEXDrivers!D$14</f>
        <v>3137756</v>
      </c>
      <c r="W30" s="170">
        <f>+AuxOPEXDrivers!E$14</f>
        <v>3194532</v>
      </c>
      <c r="X30" s="170">
        <f>+AuxOPEXDrivers!F$14</f>
        <v>3273807</v>
      </c>
      <c r="Y30" s="170">
        <f t="shared" si="4"/>
        <v>3173312.75</v>
      </c>
      <c r="Z30" s="186">
        <f t="shared" si="5"/>
        <v>3166144</v>
      </c>
      <c r="AB30" s="199">
        <f t="shared" si="6"/>
        <v>1.4469317626557987</v>
      </c>
      <c r="AC30" s="200">
        <f t="shared" si="7"/>
        <v>1.258029035346184</v>
      </c>
      <c r="AD30" s="200">
        <f t="shared" si="8"/>
        <v>1.3829422187673788</v>
      </c>
      <c r="AE30" s="200">
        <f t="shared" si="9"/>
        <v>0.96739615377448929</v>
      </c>
      <c r="AF30" s="200">
        <f t="shared" si="10"/>
        <v>1.2638247926359627</v>
      </c>
      <c r="AG30" s="201">
        <f t="shared" si="11"/>
        <v>1.3204856270567813</v>
      </c>
      <c r="AH30" s="206">
        <f t="shared" si="12"/>
        <v>0.96739615377448929</v>
      </c>
      <c r="AK30" s="123"/>
      <c r="AL30" s="22"/>
      <c r="AM30" s="22"/>
    </row>
    <row r="31" spans="3:39" ht="15" customHeight="1">
      <c r="C31" s="220" t="s">
        <v>4</v>
      </c>
      <c r="D31" s="176" t="s">
        <v>27</v>
      </c>
      <c r="E31" s="177" t="s">
        <v>20</v>
      </c>
      <c r="G31" s="190">
        <f>AuxOPEXGlosas!I75*AuxOPEXGlosas!F$16</f>
        <v>0</v>
      </c>
      <c r="H31" s="181">
        <f>AuxOPEXGlosas!Q75*AuxOPEXGlosas!G$16</f>
        <v>0</v>
      </c>
      <c r="I31" s="181">
        <f>AuxOPEXGlosas!Y75*AuxOPEXGlosas!H$16</f>
        <v>0</v>
      </c>
      <c r="J31" s="181">
        <f>AuxOPEXGlosas!AG75*AuxOPEXGlosas!I$16</f>
        <v>0</v>
      </c>
      <c r="K31" s="170">
        <f t="shared" si="0"/>
        <v>0</v>
      </c>
      <c r="L31" s="186">
        <f t="shared" si="1"/>
        <v>0</v>
      </c>
      <c r="N31" s="185">
        <f>+G31+(G31*AuxOPEXGlosas!T$23)</f>
        <v>0</v>
      </c>
      <c r="O31" s="170">
        <f>+H31+(H31*AuxOPEXGlosas!U$23)</f>
        <v>0</v>
      </c>
      <c r="P31" s="170">
        <f>+I31+(I31*AuxOPEXGlosas!V$23)</f>
        <v>0</v>
      </c>
      <c r="Q31" s="170">
        <f>+J31+(J31*AuxOPEXGlosas!W$23)</f>
        <v>0</v>
      </c>
      <c r="R31" s="170">
        <f t="shared" si="2"/>
        <v>0</v>
      </c>
      <c r="S31" s="186">
        <f t="shared" si="3"/>
        <v>0</v>
      </c>
      <c r="U31" s="185">
        <f>+AuxOPEXDrivers!C$14</f>
        <v>3087156</v>
      </c>
      <c r="V31" s="170">
        <f>+AuxOPEXDrivers!D$14</f>
        <v>3137756</v>
      </c>
      <c r="W31" s="170">
        <f>+AuxOPEXDrivers!E$14</f>
        <v>3194532</v>
      </c>
      <c r="X31" s="170">
        <f>+AuxOPEXDrivers!F$14</f>
        <v>3273807</v>
      </c>
      <c r="Y31" s="170">
        <f t="shared" si="4"/>
        <v>3173312.75</v>
      </c>
      <c r="Z31" s="186">
        <f t="shared" si="5"/>
        <v>3166144</v>
      </c>
      <c r="AB31" s="199">
        <f t="shared" si="6"/>
        <v>0</v>
      </c>
      <c r="AC31" s="200">
        <f t="shared" si="7"/>
        <v>0</v>
      </c>
      <c r="AD31" s="200">
        <f t="shared" si="8"/>
        <v>0</v>
      </c>
      <c r="AE31" s="200">
        <f t="shared" si="9"/>
        <v>0</v>
      </c>
      <c r="AF31" s="200">
        <f t="shared" si="10"/>
        <v>0</v>
      </c>
      <c r="AG31" s="201">
        <f t="shared" si="11"/>
        <v>0</v>
      </c>
      <c r="AH31" s="206">
        <f t="shared" si="12"/>
        <v>0</v>
      </c>
      <c r="AK31" s="123"/>
      <c r="AL31" s="22"/>
      <c r="AM31" s="22"/>
    </row>
    <row r="32" spans="3:39" ht="15" customHeight="1">
      <c r="C32" s="220" t="s">
        <v>5</v>
      </c>
      <c r="D32" s="176" t="s">
        <v>27</v>
      </c>
      <c r="E32" s="177" t="s">
        <v>20</v>
      </c>
      <c r="G32" s="190">
        <f>AuxOPEXGlosas!I106*AuxOPEXGlosas!F$16</f>
        <v>88939290.242961824</v>
      </c>
      <c r="H32" s="181">
        <f>AuxOPEXGlosas!Q106*AuxOPEXGlosas!G$16</f>
        <v>104160523.70072746</v>
      </c>
      <c r="I32" s="181">
        <f>AuxOPEXGlosas!Y106*AuxOPEXGlosas!H$16</f>
        <v>110262339.57082103</v>
      </c>
      <c r="J32" s="181">
        <f>AuxOPEXGlosas!AG106*AuxOPEXGlosas!I$16</f>
        <v>111136338.88000013</v>
      </c>
      <c r="K32" s="170">
        <f t="shared" si="0"/>
        <v>103624623.09862761</v>
      </c>
      <c r="L32" s="186">
        <f t="shared" si="1"/>
        <v>107211431.63577425</v>
      </c>
      <c r="N32" s="185">
        <f>+G32+(G32*AuxOPEXGlosas!T$24)</f>
        <v>88939290.242961824</v>
      </c>
      <c r="O32" s="170">
        <f>+H32+(H32*AuxOPEXGlosas!U$24)</f>
        <v>104160523.70072746</v>
      </c>
      <c r="P32" s="170">
        <f>+I32+(I32*AuxOPEXGlosas!V$24)</f>
        <v>110262339.57082103</v>
      </c>
      <c r="Q32" s="170">
        <f>+J32+(J32*AuxOPEXGlosas!W$24)</f>
        <v>111136338.88000013</v>
      </c>
      <c r="R32" s="170">
        <f t="shared" si="2"/>
        <v>103624623.09862761</v>
      </c>
      <c r="S32" s="186">
        <f t="shared" si="3"/>
        <v>103624623.09862761</v>
      </c>
      <c r="U32" s="185">
        <f>+AuxOPEXDrivers!C$14</f>
        <v>3087156</v>
      </c>
      <c r="V32" s="170">
        <f>+AuxOPEXDrivers!D$14</f>
        <v>3137756</v>
      </c>
      <c r="W32" s="170">
        <f>+AuxOPEXDrivers!E$14</f>
        <v>3194532</v>
      </c>
      <c r="X32" s="170">
        <f>+AuxOPEXDrivers!F$14</f>
        <v>3273807</v>
      </c>
      <c r="Y32" s="170">
        <f t="shared" si="4"/>
        <v>3173312.75</v>
      </c>
      <c r="Z32" s="186">
        <f t="shared" si="5"/>
        <v>3166144</v>
      </c>
      <c r="AB32" s="199">
        <f t="shared" si="6"/>
        <v>28.809457715438359</v>
      </c>
      <c r="AC32" s="200">
        <f t="shared" si="7"/>
        <v>33.195864720114457</v>
      </c>
      <c r="AD32" s="200">
        <f t="shared" si="8"/>
        <v>34.51596026298094</v>
      </c>
      <c r="AE32" s="200">
        <f t="shared" si="9"/>
        <v>33.947126046220845</v>
      </c>
      <c r="AF32" s="200">
        <f t="shared" si="10"/>
        <v>32.617102186188646</v>
      </c>
      <c r="AG32" s="201">
        <f t="shared" si="11"/>
        <v>33.571495383167651</v>
      </c>
      <c r="AH32" s="206">
        <f t="shared" si="12"/>
        <v>32.617102186188646</v>
      </c>
      <c r="AK32" s="123"/>
      <c r="AL32" s="22"/>
      <c r="AM32" s="22"/>
    </row>
    <row r="33" spans="3:39" ht="15" hidden="1" customHeight="1">
      <c r="C33" s="220" t="s">
        <v>18</v>
      </c>
      <c r="D33" s="176" t="s">
        <v>27</v>
      </c>
      <c r="E33" s="177" t="s">
        <v>20</v>
      </c>
      <c r="G33" s="190">
        <f>AuxOPEXGlosas!I108*AuxOPEXGlosas!F$16</f>
        <v>985105.04425204254</v>
      </c>
      <c r="H33" s="181">
        <f>AuxOPEXGlosas!Q108*AuxOPEXGlosas!G$16</f>
        <v>1075583.519633916</v>
      </c>
      <c r="I33" s="181">
        <f>AuxOPEXGlosas!Y108*AuxOPEXGlosas!H$16</f>
        <v>1185982.9406391846</v>
      </c>
      <c r="J33" s="181">
        <f>AuxOPEXGlosas!AG108*AuxOPEXGlosas!I$16</f>
        <v>1080999.7899999996</v>
      </c>
      <c r="K33" s="170">
        <f t="shared" si="0"/>
        <v>1081917.8236312857</v>
      </c>
      <c r="L33" s="186">
        <f t="shared" si="1"/>
        <v>1078291.6548169577</v>
      </c>
      <c r="N33" s="185">
        <f>+G33+(G33*AuxOPEXGlosas!T$25)</f>
        <v>985105.04425204254</v>
      </c>
      <c r="O33" s="170">
        <f>+H33+(H33*AuxOPEXGlosas!U$25)</f>
        <v>1075583.519633916</v>
      </c>
      <c r="P33" s="170">
        <f>+I33+(I33*AuxOPEXGlosas!V$25)</f>
        <v>1185982.9406391846</v>
      </c>
      <c r="Q33" s="170">
        <f>+J33+(J33*AuxOPEXGlosas!W$25)</f>
        <v>1080999.7899999996</v>
      </c>
      <c r="R33" s="170">
        <f t="shared" si="2"/>
        <v>1081917.8236312857</v>
      </c>
      <c r="S33" s="186">
        <f t="shared" si="3"/>
        <v>1081917.8236312857</v>
      </c>
      <c r="U33" s="185">
        <f>+AuxOPEXDrivers!C$14</f>
        <v>3087156</v>
      </c>
      <c r="V33" s="170">
        <f>+AuxOPEXDrivers!D$14</f>
        <v>3137756</v>
      </c>
      <c r="W33" s="170">
        <f>+AuxOPEXDrivers!E$14</f>
        <v>3194532</v>
      </c>
      <c r="X33" s="170">
        <f>+AuxOPEXDrivers!F$14</f>
        <v>3273807</v>
      </c>
      <c r="Y33" s="170">
        <f t="shared" si="4"/>
        <v>3173312.75</v>
      </c>
      <c r="Z33" s="186">
        <f t="shared" si="5"/>
        <v>3166144</v>
      </c>
      <c r="AB33" s="199">
        <f t="shared" si="6"/>
        <v>0.31909791544451999</v>
      </c>
      <c r="AC33" s="200">
        <f t="shared" si="7"/>
        <v>0.34278749515064777</v>
      </c>
      <c r="AD33" s="200">
        <f t="shared" si="8"/>
        <v>0.37125404930649764</v>
      </c>
      <c r="AE33" s="200">
        <f t="shared" si="9"/>
        <v>0.33019655404243425</v>
      </c>
      <c r="AF33" s="200">
        <f t="shared" si="10"/>
        <v>0.34083400348602494</v>
      </c>
      <c r="AG33" s="201">
        <f t="shared" si="11"/>
        <v>0.33649202459654104</v>
      </c>
      <c r="AH33" s="206">
        <f t="shared" si="12"/>
        <v>0.33019655404243425</v>
      </c>
      <c r="AK33" s="123"/>
      <c r="AL33" s="22"/>
      <c r="AM33" s="22"/>
    </row>
    <row r="34" spans="3:39" ht="15" customHeight="1" thickBot="1">
      <c r="C34" s="221" t="s">
        <v>6</v>
      </c>
      <c r="D34" s="179" t="s">
        <v>27</v>
      </c>
      <c r="E34" s="180" t="s">
        <v>20</v>
      </c>
      <c r="G34" s="191">
        <f>AuxOPEXGlosas!I166*AuxOPEXGlosas!F$16</f>
        <v>457610050.08324796</v>
      </c>
      <c r="H34" s="192">
        <f>AuxOPEXGlosas!Q166*AuxOPEXGlosas!G$16</f>
        <v>436477542.02794987</v>
      </c>
      <c r="I34" s="192">
        <f>AuxOPEXGlosas!Y166*AuxOPEXGlosas!H$16</f>
        <v>488353907.51636648</v>
      </c>
      <c r="J34" s="192">
        <f>AuxOPEXGlosas!AG166*AuxOPEXGlosas!I$16</f>
        <v>521478423.3599996</v>
      </c>
      <c r="K34" s="188">
        <f t="shared" si="0"/>
        <v>475979980.74689102</v>
      </c>
      <c r="L34" s="189">
        <f t="shared" si="1"/>
        <v>472981978.79980719</v>
      </c>
      <c r="N34" s="187">
        <f>+G34+(G34*AuxOPEXGlosas!T$26)</f>
        <v>-11186653.819139659</v>
      </c>
      <c r="O34" s="188">
        <f>+H34+(H34*AuxOPEXGlosas!U$26)</f>
        <v>-19271933.519630969</v>
      </c>
      <c r="P34" s="188">
        <f>+I34+(I34*AuxOPEXGlosas!V$26)</f>
        <v>-28984273.416893721</v>
      </c>
      <c r="Q34" s="188">
        <f>+J34+(J34*AuxOPEXGlosas!W$26)</f>
        <v>-24910974.873284042</v>
      </c>
      <c r="R34" s="188">
        <f t="shared" si="2"/>
        <v>-21088458.907237098</v>
      </c>
      <c r="S34" s="189">
        <f t="shared" si="3"/>
        <v>-21088458.907237098</v>
      </c>
      <c r="U34" s="187">
        <f>+AuxOPEXDrivers!C$14</f>
        <v>3087156</v>
      </c>
      <c r="V34" s="188">
        <f>+AuxOPEXDrivers!D$14</f>
        <v>3137756</v>
      </c>
      <c r="W34" s="188">
        <f>+AuxOPEXDrivers!E$14</f>
        <v>3194532</v>
      </c>
      <c r="X34" s="188">
        <f>+AuxOPEXDrivers!F$14</f>
        <v>3273807</v>
      </c>
      <c r="Y34" s="188">
        <f t="shared" si="4"/>
        <v>3173312.75</v>
      </c>
      <c r="Z34" s="189">
        <f t="shared" si="5"/>
        <v>3166144</v>
      </c>
      <c r="AB34" s="202">
        <f t="shared" si="6"/>
        <v>-3.6236114466323244</v>
      </c>
      <c r="AC34" s="203">
        <f t="shared" si="7"/>
        <v>-6.1419477867721293</v>
      </c>
      <c r="AD34" s="203">
        <f t="shared" si="8"/>
        <v>-9.0730890837511478</v>
      </c>
      <c r="AE34" s="203">
        <f t="shared" si="9"/>
        <v>-7.6091763727318202</v>
      </c>
      <c r="AF34" s="203">
        <f t="shared" si="10"/>
        <v>-6.6119561724718556</v>
      </c>
      <c r="AG34" s="204">
        <f t="shared" si="11"/>
        <v>-6.8755620797519743</v>
      </c>
      <c r="AH34" s="207">
        <f t="shared" si="12"/>
        <v>-7.6091763727318202</v>
      </c>
      <c r="AK34" s="123"/>
      <c r="AL34" s="22"/>
      <c r="AM34" s="22"/>
    </row>
    <row r="35" spans="3:39" ht="15" customHeight="1">
      <c r="C35" s="219" t="s">
        <v>2</v>
      </c>
      <c r="D35" s="173" t="s">
        <v>28</v>
      </c>
      <c r="E35" s="174" t="s">
        <v>29</v>
      </c>
      <c r="G35" s="182">
        <f>AuxOPEXGlosas!J58*AuxOPEXGlosas!F$16</f>
        <v>648595421.81053746</v>
      </c>
      <c r="H35" s="183">
        <f>AuxOPEXGlosas!R58*AuxOPEXGlosas!G$16</f>
        <v>599384793.91627598</v>
      </c>
      <c r="I35" s="183">
        <f>AuxOPEXGlosas!Z58*AuxOPEXGlosas!H$16</f>
        <v>601812540.08162498</v>
      </c>
      <c r="J35" s="183">
        <f>AuxOPEXGlosas!AH58*AuxOPEXGlosas!I$16</f>
        <v>627665771.28999996</v>
      </c>
      <c r="K35" s="183">
        <f t="shared" si="0"/>
        <v>619364631.77460957</v>
      </c>
      <c r="L35" s="184">
        <f t="shared" si="1"/>
        <v>614739155.68581247</v>
      </c>
      <c r="N35" s="182">
        <f>+G35+(G35*AuxOPEXGlosas!T$21)</f>
        <v>591302007.1264267</v>
      </c>
      <c r="O35" s="183">
        <f>+H35+(H35*AuxOPEXGlosas!U$21)</f>
        <v>514134845.17886311</v>
      </c>
      <c r="P35" s="183">
        <f>+I35+(I35*AuxOPEXGlosas!V$21)</f>
        <v>545047452.93295622</v>
      </c>
      <c r="Q35" s="183">
        <f>+J35+(J35*AuxOPEXGlosas!W$21)</f>
        <v>574529630.96051681</v>
      </c>
      <c r="R35" s="183">
        <f t="shared" si="2"/>
        <v>556253484.04969072</v>
      </c>
      <c r="S35" s="184">
        <f t="shared" si="3"/>
        <v>556253484.04969072</v>
      </c>
      <c r="U35" s="182">
        <v>1</v>
      </c>
      <c r="V35" s="183">
        <v>1</v>
      </c>
      <c r="W35" s="183">
        <v>1</v>
      </c>
      <c r="X35" s="183">
        <v>1</v>
      </c>
      <c r="Y35" s="183">
        <f t="shared" si="4"/>
        <v>1</v>
      </c>
      <c r="Z35" s="184">
        <f t="shared" si="5"/>
        <v>1</v>
      </c>
      <c r="AB35" s="196">
        <f t="shared" si="6"/>
        <v>591302007.1264267</v>
      </c>
      <c r="AC35" s="197">
        <f t="shared" si="7"/>
        <v>514134845.17886311</v>
      </c>
      <c r="AD35" s="197">
        <f t="shared" si="8"/>
        <v>545047452.93295622</v>
      </c>
      <c r="AE35" s="197">
        <f t="shared" si="9"/>
        <v>574529630.96051681</v>
      </c>
      <c r="AF35" s="197">
        <f t="shared" si="10"/>
        <v>556253484.04969072</v>
      </c>
      <c r="AG35" s="198">
        <f t="shared" si="11"/>
        <v>559788541.94673657</v>
      </c>
      <c r="AH35" s="205">
        <f t="shared" si="12"/>
        <v>556253484.04969072</v>
      </c>
      <c r="AK35" s="123"/>
      <c r="AL35" s="22"/>
      <c r="AM35" s="22"/>
    </row>
    <row r="36" spans="3:39" ht="15" customHeight="1">
      <c r="C36" s="220" t="s">
        <v>3</v>
      </c>
      <c r="D36" s="176" t="s">
        <v>28</v>
      </c>
      <c r="E36" s="177" t="s">
        <v>29</v>
      </c>
      <c r="G36" s="190">
        <f>AuxOPEXGlosas!J73*AuxOPEXGlosas!F$16</f>
        <v>44579326.24137006</v>
      </c>
      <c r="H36" s="181">
        <f>AuxOPEXGlosas!R73*AuxOPEXGlosas!G$16</f>
        <v>43687867.423055269</v>
      </c>
      <c r="I36" s="181">
        <f>AuxOPEXGlosas!Z73*AuxOPEXGlosas!H$16</f>
        <v>51778666.253511325</v>
      </c>
      <c r="J36" s="181">
        <f>AuxOPEXGlosas!AH73*AuxOPEXGlosas!I$16</f>
        <v>39893101.289999999</v>
      </c>
      <c r="K36" s="170">
        <f t="shared" si="0"/>
        <v>44984740.301984161</v>
      </c>
      <c r="L36" s="186">
        <f t="shared" si="1"/>
        <v>44133596.832212664</v>
      </c>
      <c r="N36" s="185">
        <f>+G36+(G36*AuxOPEXGlosas!T$22)</f>
        <v>44579326.24137006</v>
      </c>
      <c r="O36" s="170">
        <f>+H36+(H36*AuxOPEXGlosas!U$22)</f>
        <v>43687867.423055269</v>
      </c>
      <c r="P36" s="170">
        <f>+I36+(I36*AuxOPEXGlosas!V$22)</f>
        <v>51778666.253511325</v>
      </c>
      <c r="Q36" s="170">
        <f>+J36+(J36*AuxOPEXGlosas!W$22)</f>
        <v>39893101.289999999</v>
      </c>
      <c r="R36" s="170">
        <f t="shared" si="2"/>
        <v>44984740.301984161</v>
      </c>
      <c r="S36" s="186">
        <f t="shared" si="3"/>
        <v>44984740.301984161</v>
      </c>
      <c r="U36" s="185">
        <v>1</v>
      </c>
      <c r="V36" s="170">
        <v>1</v>
      </c>
      <c r="W36" s="170">
        <v>1</v>
      </c>
      <c r="X36" s="170">
        <v>1</v>
      </c>
      <c r="Y36" s="170">
        <f t="shared" si="4"/>
        <v>1</v>
      </c>
      <c r="Z36" s="186">
        <f t="shared" si="5"/>
        <v>1</v>
      </c>
      <c r="AB36" s="199">
        <f t="shared" si="6"/>
        <v>44579326.24137006</v>
      </c>
      <c r="AC36" s="200">
        <f t="shared" si="7"/>
        <v>43687867.423055269</v>
      </c>
      <c r="AD36" s="200">
        <f t="shared" si="8"/>
        <v>51778666.253511325</v>
      </c>
      <c r="AE36" s="200">
        <f t="shared" si="9"/>
        <v>39893101.289999999</v>
      </c>
      <c r="AF36" s="200">
        <f t="shared" si="10"/>
        <v>44984740.301984161</v>
      </c>
      <c r="AG36" s="201">
        <f t="shared" si="11"/>
        <v>44133596.832212664</v>
      </c>
      <c r="AH36" s="206">
        <f t="shared" si="12"/>
        <v>39893101.289999999</v>
      </c>
      <c r="AK36" s="123"/>
      <c r="AL36" s="22"/>
      <c r="AM36" s="22"/>
    </row>
    <row r="37" spans="3:39" ht="15" customHeight="1">
      <c r="C37" s="220" t="s">
        <v>4</v>
      </c>
      <c r="D37" s="176" t="s">
        <v>28</v>
      </c>
      <c r="E37" s="177" t="s">
        <v>29</v>
      </c>
      <c r="G37" s="190">
        <f>AuxOPEXGlosas!J75*AuxOPEXGlosas!F$16</f>
        <v>0</v>
      </c>
      <c r="H37" s="181">
        <f>AuxOPEXGlosas!R75*AuxOPEXGlosas!G$16</f>
        <v>0</v>
      </c>
      <c r="I37" s="181">
        <f>AuxOPEXGlosas!Z75*AuxOPEXGlosas!H$16</f>
        <v>0</v>
      </c>
      <c r="J37" s="181">
        <f>AuxOPEXGlosas!AH75*AuxOPEXGlosas!I$16</f>
        <v>0</v>
      </c>
      <c r="K37" s="170">
        <f t="shared" si="0"/>
        <v>0</v>
      </c>
      <c r="L37" s="186">
        <f t="shared" si="1"/>
        <v>0</v>
      </c>
      <c r="N37" s="185">
        <f>+G37+(G37*AuxOPEXGlosas!T$23)</f>
        <v>0</v>
      </c>
      <c r="O37" s="170">
        <f>+H37+(H37*AuxOPEXGlosas!U$23)</f>
        <v>0</v>
      </c>
      <c r="P37" s="170">
        <f>+I37+(I37*AuxOPEXGlosas!V$23)</f>
        <v>0</v>
      </c>
      <c r="Q37" s="170">
        <f>+J37+(J37*AuxOPEXGlosas!W$23)</f>
        <v>0</v>
      </c>
      <c r="R37" s="170">
        <f t="shared" si="2"/>
        <v>0</v>
      </c>
      <c r="S37" s="186">
        <f t="shared" si="3"/>
        <v>0</v>
      </c>
      <c r="U37" s="185">
        <v>1</v>
      </c>
      <c r="V37" s="170">
        <v>1</v>
      </c>
      <c r="W37" s="170">
        <v>1</v>
      </c>
      <c r="X37" s="170">
        <v>1</v>
      </c>
      <c r="Y37" s="170">
        <f t="shared" si="4"/>
        <v>1</v>
      </c>
      <c r="Z37" s="186">
        <f t="shared" si="5"/>
        <v>1</v>
      </c>
      <c r="AB37" s="199">
        <f t="shared" si="6"/>
        <v>0</v>
      </c>
      <c r="AC37" s="200">
        <f t="shared" si="7"/>
        <v>0</v>
      </c>
      <c r="AD37" s="200">
        <f t="shared" si="8"/>
        <v>0</v>
      </c>
      <c r="AE37" s="200">
        <f t="shared" si="9"/>
        <v>0</v>
      </c>
      <c r="AF37" s="200">
        <f t="shared" si="10"/>
        <v>0</v>
      </c>
      <c r="AG37" s="201">
        <f t="shared" si="11"/>
        <v>0</v>
      </c>
      <c r="AH37" s="206">
        <f t="shared" si="12"/>
        <v>0</v>
      </c>
      <c r="AK37" s="124"/>
      <c r="AL37" s="22"/>
      <c r="AM37" s="22"/>
    </row>
    <row r="38" spans="3:39" ht="15" customHeight="1">
      <c r="C38" s="220" t="s">
        <v>5</v>
      </c>
      <c r="D38" s="176" t="s">
        <v>28</v>
      </c>
      <c r="E38" s="177" t="s">
        <v>29</v>
      </c>
      <c r="G38" s="190">
        <f>AuxOPEXGlosas!J106*AuxOPEXGlosas!F$16</f>
        <v>151773858.23550448</v>
      </c>
      <c r="H38" s="181">
        <f>AuxOPEXGlosas!R106*AuxOPEXGlosas!G$16</f>
        <v>142074689.89198476</v>
      </c>
      <c r="I38" s="181">
        <f>AuxOPEXGlosas!Z106*AuxOPEXGlosas!H$16</f>
        <v>108264243.10801777</v>
      </c>
      <c r="J38" s="181">
        <f>AuxOPEXGlosas!AH106*AuxOPEXGlosas!I$16</f>
        <v>104225539.53999999</v>
      </c>
      <c r="K38" s="170">
        <f t="shared" si="0"/>
        <v>126584582.69387674</v>
      </c>
      <c r="L38" s="186">
        <f t="shared" si="1"/>
        <v>125169466.50000127</v>
      </c>
      <c r="N38" s="185">
        <f>+G38+(G38*AuxOPEXGlosas!T$24)</f>
        <v>151773858.23550448</v>
      </c>
      <c r="O38" s="170">
        <f>+H38+(H38*AuxOPEXGlosas!U$24)</f>
        <v>142074689.89198476</v>
      </c>
      <c r="P38" s="170">
        <f>+I38+(I38*AuxOPEXGlosas!V$24)</f>
        <v>108264243.10801777</v>
      </c>
      <c r="Q38" s="170">
        <f>+J38+(J38*AuxOPEXGlosas!W$24)</f>
        <v>104225539.53999999</v>
      </c>
      <c r="R38" s="170">
        <f t="shared" si="2"/>
        <v>126584582.69387674</v>
      </c>
      <c r="S38" s="186">
        <f t="shared" si="3"/>
        <v>126584582.69387674</v>
      </c>
      <c r="U38" s="185">
        <v>1</v>
      </c>
      <c r="V38" s="170">
        <v>1</v>
      </c>
      <c r="W38" s="170">
        <v>1</v>
      </c>
      <c r="X38" s="170">
        <v>1</v>
      </c>
      <c r="Y38" s="170">
        <f t="shared" si="4"/>
        <v>1</v>
      </c>
      <c r="Z38" s="186">
        <f t="shared" si="5"/>
        <v>1</v>
      </c>
      <c r="AB38" s="199">
        <f t="shared" si="6"/>
        <v>151773858.23550448</v>
      </c>
      <c r="AC38" s="200">
        <f t="shared" si="7"/>
        <v>142074689.89198476</v>
      </c>
      <c r="AD38" s="200">
        <f t="shared" si="8"/>
        <v>108264243.10801777</v>
      </c>
      <c r="AE38" s="200">
        <f t="shared" si="9"/>
        <v>104225539.53999999</v>
      </c>
      <c r="AF38" s="200">
        <f t="shared" si="10"/>
        <v>126584582.69387674</v>
      </c>
      <c r="AG38" s="201">
        <f t="shared" si="11"/>
        <v>125169466.50000127</v>
      </c>
      <c r="AH38" s="206">
        <f t="shared" si="12"/>
        <v>104225539.53999999</v>
      </c>
      <c r="AK38" s="124"/>
      <c r="AL38" s="22"/>
      <c r="AM38" s="22"/>
    </row>
    <row r="39" spans="3:39" ht="15" hidden="1" customHeight="1">
      <c r="C39" s="220" t="s">
        <v>18</v>
      </c>
      <c r="D39" s="176" t="s">
        <v>28</v>
      </c>
      <c r="E39" s="177" t="s">
        <v>29</v>
      </c>
      <c r="G39" s="190">
        <f>AuxOPEXGlosas!J108*AuxOPEXGlosas!F$16</f>
        <v>8367734.264815188</v>
      </c>
      <c r="H39" s="181">
        <f>AuxOPEXGlosas!R108*AuxOPEXGlosas!G$16</f>
        <v>6850364.6649560677</v>
      </c>
      <c r="I39" s="181">
        <f>AuxOPEXGlosas!Z108*AuxOPEXGlosas!H$16</f>
        <v>6117794.7331807502</v>
      </c>
      <c r="J39" s="181">
        <f>AuxOPEXGlosas!AH108*AuxOPEXGlosas!I$16</f>
        <v>5230494.8599999994</v>
      </c>
      <c r="K39" s="170">
        <f t="shared" si="0"/>
        <v>6641597.1307380013</v>
      </c>
      <c r="L39" s="186">
        <f t="shared" si="1"/>
        <v>6484079.6990684085</v>
      </c>
      <c r="N39" s="185">
        <f>+G39+(G39*AuxOPEXGlosas!T$25)</f>
        <v>8367734.264815188</v>
      </c>
      <c r="O39" s="170">
        <f>+H39+(H39*AuxOPEXGlosas!U$25)</f>
        <v>6850364.6649560677</v>
      </c>
      <c r="P39" s="170">
        <f>+I39+(I39*AuxOPEXGlosas!V$25)</f>
        <v>6117794.7331807502</v>
      </c>
      <c r="Q39" s="170">
        <f>+J39+(J39*AuxOPEXGlosas!W$25)</f>
        <v>5230494.8599999994</v>
      </c>
      <c r="R39" s="170">
        <f t="shared" si="2"/>
        <v>6641597.1307380013</v>
      </c>
      <c r="S39" s="186">
        <f t="shared" si="3"/>
        <v>6641597.1307380013</v>
      </c>
      <c r="U39" s="185">
        <v>1</v>
      </c>
      <c r="V39" s="170">
        <v>1</v>
      </c>
      <c r="W39" s="170">
        <v>1</v>
      </c>
      <c r="X39" s="170">
        <v>1</v>
      </c>
      <c r="Y39" s="170">
        <f t="shared" si="4"/>
        <v>1</v>
      </c>
      <c r="Z39" s="186">
        <f t="shared" si="5"/>
        <v>1</v>
      </c>
      <c r="AB39" s="199">
        <f t="shared" si="6"/>
        <v>8367734.264815188</v>
      </c>
      <c r="AC39" s="200">
        <f t="shared" si="7"/>
        <v>6850364.6649560677</v>
      </c>
      <c r="AD39" s="200">
        <f t="shared" si="8"/>
        <v>6117794.7331807502</v>
      </c>
      <c r="AE39" s="200">
        <f t="shared" si="9"/>
        <v>5230494.8599999994</v>
      </c>
      <c r="AF39" s="200">
        <f t="shared" si="10"/>
        <v>6641597.1307380013</v>
      </c>
      <c r="AG39" s="201">
        <f t="shared" si="11"/>
        <v>6484079.6990684085</v>
      </c>
      <c r="AH39" s="206">
        <f t="shared" si="12"/>
        <v>5230494.8599999994</v>
      </c>
      <c r="AK39" s="124"/>
      <c r="AL39" s="22"/>
      <c r="AM39" s="22"/>
    </row>
    <row r="40" spans="3:39" ht="15" customHeight="1" thickBot="1">
      <c r="C40" s="221" t="s">
        <v>6</v>
      </c>
      <c r="D40" s="179" t="s">
        <v>28</v>
      </c>
      <c r="E40" s="180" t="s">
        <v>29</v>
      </c>
      <c r="G40" s="191">
        <f>AuxOPEXGlosas!J166*AuxOPEXGlosas!F$16</f>
        <v>-158210071.76275507</v>
      </c>
      <c r="H40" s="192">
        <f>AuxOPEXGlosas!R166*AuxOPEXGlosas!G$16</f>
        <v>-161251884.08796605</v>
      </c>
      <c r="I40" s="192">
        <f>AuxOPEXGlosas!Z166*AuxOPEXGlosas!H$16</f>
        <v>-204330365.10383242</v>
      </c>
      <c r="J40" s="192">
        <f>AuxOPEXGlosas!AH166*AuxOPEXGlosas!I$16</f>
        <v>-142758500.44000006</v>
      </c>
      <c r="K40" s="188">
        <f t="shared" si="0"/>
        <v>-166637705.34863842</v>
      </c>
      <c r="L40" s="189">
        <f t="shared" si="1"/>
        <v>-159730977.92536056</v>
      </c>
      <c r="N40" s="187">
        <f>+G40+(G40*AuxOPEXGlosas!T$26)</f>
        <v>3867575.249252528</v>
      </c>
      <c r="O40" s="188">
        <f>+H40+(H40*AuxOPEXGlosas!U$26)</f>
        <v>7119806.3836684823</v>
      </c>
      <c r="P40" s="188">
        <f>+I40+(I40*AuxOPEXGlosas!V$26)</f>
        <v>12127203.403905839</v>
      </c>
      <c r="Q40" s="188">
        <f>+J40+(J40*AuxOPEXGlosas!W$26)</f>
        <v>6819560.0395023823</v>
      </c>
      <c r="R40" s="188">
        <f t="shared" si="2"/>
        <v>7483536.2690823078</v>
      </c>
      <c r="S40" s="189">
        <f t="shared" si="3"/>
        <v>7483536.2690823078</v>
      </c>
      <c r="U40" s="187">
        <v>1</v>
      </c>
      <c r="V40" s="188">
        <v>1</v>
      </c>
      <c r="W40" s="188">
        <v>1</v>
      </c>
      <c r="X40" s="188">
        <v>1</v>
      </c>
      <c r="Y40" s="188">
        <f t="shared" si="4"/>
        <v>1</v>
      </c>
      <c r="Z40" s="189">
        <f t="shared" si="5"/>
        <v>1</v>
      </c>
      <c r="AB40" s="202">
        <f t="shared" si="6"/>
        <v>3867575.249252528</v>
      </c>
      <c r="AC40" s="203">
        <f t="shared" si="7"/>
        <v>7119806.3836684823</v>
      </c>
      <c r="AD40" s="203">
        <f t="shared" si="8"/>
        <v>12127203.403905839</v>
      </c>
      <c r="AE40" s="203">
        <f t="shared" si="9"/>
        <v>6819560.0395023823</v>
      </c>
      <c r="AF40" s="203">
        <f t="shared" si="10"/>
        <v>7483536.2690823078</v>
      </c>
      <c r="AG40" s="204">
        <f t="shared" si="11"/>
        <v>6969683.2115854323</v>
      </c>
      <c r="AH40" s="207">
        <f t="shared" si="12"/>
        <v>6819560.0395023823</v>
      </c>
      <c r="AK40" s="124"/>
      <c r="AL40" s="22"/>
      <c r="AM40" s="22"/>
    </row>
    <row r="41" spans="3:39" ht="15" customHeight="1">
      <c r="C41" s="219" t="s">
        <v>2</v>
      </c>
      <c r="D41" s="173" t="s">
        <v>59</v>
      </c>
      <c r="E41" s="174" t="s">
        <v>29</v>
      </c>
      <c r="G41" s="182">
        <f>AuxOPEXGlosas!K58*AuxOPEXGlosas!F$16</f>
        <v>79157246.0215801</v>
      </c>
      <c r="H41" s="183">
        <f>AuxOPEXGlosas!S58*AuxOPEXGlosas!G$16</f>
        <v>146571541.23499161</v>
      </c>
      <c r="I41" s="183">
        <f>AuxOPEXGlosas!AA58*AuxOPEXGlosas!H$16</f>
        <v>81009077.74392049</v>
      </c>
      <c r="J41" s="183">
        <f>AuxOPEXGlosas!AI58*AuxOPEXGlosas!I$16</f>
        <v>74421871.989999995</v>
      </c>
      <c r="K41" s="183">
        <f t="shared" ref="K41:K46" si="13">AVERAGE(G41:J41)</f>
        <v>95289934.247623056</v>
      </c>
      <c r="L41" s="184">
        <f t="shared" ref="L41:L46" si="14">MEDIAN(G41:J41)</f>
        <v>80083161.882750303</v>
      </c>
      <c r="N41" s="182">
        <f>+G41+(G41*AuxOPEXGlosas!T$21)</f>
        <v>72164922.657800093</v>
      </c>
      <c r="O41" s="183">
        <f>+H41+(H41*AuxOPEXGlosas!U$21)</f>
        <v>125724805.54287459</v>
      </c>
      <c r="P41" s="183">
        <f>+I41+(I41*AuxOPEXGlosas!V$21)</f>
        <v>73368015.034686759</v>
      </c>
      <c r="Q41" s="183">
        <f>+J41+(J41*AuxOPEXGlosas!W$21)</f>
        <v>68121558.647253796</v>
      </c>
      <c r="R41" s="183">
        <f t="shared" si="2"/>
        <v>84844825.470653817</v>
      </c>
      <c r="S41" s="184">
        <f t="shared" si="3"/>
        <v>84844825.470653817</v>
      </c>
      <c r="U41" s="182">
        <v>1</v>
      </c>
      <c r="V41" s="183">
        <v>1</v>
      </c>
      <c r="W41" s="183">
        <v>1</v>
      </c>
      <c r="X41" s="183">
        <v>1</v>
      </c>
      <c r="Y41" s="183">
        <f t="shared" si="4"/>
        <v>1</v>
      </c>
      <c r="Z41" s="184">
        <f t="shared" si="5"/>
        <v>1</v>
      </c>
      <c r="AB41" s="196">
        <f t="shared" si="6"/>
        <v>72164922.657800093</v>
      </c>
      <c r="AC41" s="197">
        <f t="shared" si="7"/>
        <v>125724805.54287459</v>
      </c>
      <c r="AD41" s="197">
        <f t="shared" si="8"/>
        <v>73368015.034686759</v>
      </c>
      <c r="AE41" s="197">
        <f t="shared" si="9"/>
        <v>68121558.647253796</v>
      </c>
      <c r="AF41" s="197">
        <f t="shared" si="10"/>
        <v>84844825.470653817</v>
      </c>
      <c r="AG41" s="198">
        <f t="shared" si="11"/>
        <v>72766468.846243426</v>
      </c>
      <c r="AH41" s="205">
        <f t="shared" si="12"/>
        <v>68121558.647253796</v>
      </c>
      <c r="AK41" s="123"/>
      <c r="AL41" s="22"/>
      <c r="AM41" s="22"/>
    </row>
    <row r="42" spans="3:39" ht="15" customHeight="1">
      <c r="C42" s="220" t="s">
        <v>3</v>
      </c>
      <c r="D42" s="176" t="s">
        <v>59</v>
      </c>
      <c r="E42" s="177" t="s">
        <v>29</v>
      </c>
      <c r="G42" s="190">
        <f>AuxOPEXGlosas!K73*AuxOPEXGlosas!F$16</f>
        <v>0</v>
      </c>
      <c r="H42" s="181">
        <f>AuxOPEXGlosas!S73*AuxOPEXGlosas!G$16</f>
        <v>0</v>
      </c>
      <c r="I42" s="181">
        <f>AuxOPEXGlosas!AA73*AuxOPEXGlosas!H$16</f>
        <v>0</v>
      </c>
      <c r="J42" s="181">
        <f>AuxOPEXGlosas!AI73*AuxOPEXGlosas!I$16</f>
        <v>0</v>
      </c>
      <c r="K42" s="170">
        <f t="shared" si="13"/>
        <v>0</v>
      </c>
      <c r="L42" s="186">
        <f t="shared" si="14"/>
        <v>0</v>
      </c>
      <c r="N42" s="185">
        <f>+G42+(G42*AuxOPEXGlosas!T$22)</f>
        <v>0</v>
      </c>
      <c r="O42" s="170">
        <f>+H42+(H42*AuxOPEXGlosas!U$22)</f>
        <v>0</v>
      </c>
      <c r="P42" s="170">
        <f>+I42+(I42*AuxOPEXGlosas!V$22)</f>
        <v>0</v>
      </c>
      <c r="Q42" s="170">
        <f>+J42+(J42*AuxOPEXGlosas!W$22)</f>
        <v>0</v>
      </c>
      <c r="R42" s="170">
        <f t="shared" si="2"/>
        <v>0</v>
      </c>
      <c r="S42" s="186">
        <f t="shared" si="3"/>
        <v>0</v>
      </c>
      <c r="U42" s="185">
        <v>1</v>
      </c>
      <c r="V42" s="170">
        <v>1</v>
      </c>
      <c r="W42" s="170">
        <v>1</v>
      </c>
      <c r="X42" s="170">
        <v>1</v>
      </c>
      <c r="Y42" s="170">
        <f t="shared" si="4"/>
        <v>1</v>
      </c>
      <c r="Z42" s="186">
        <f t="shared" si="5"/>
        <v>1</v>
      </c>
      <c r="AB42" s="199">
        <f t="shared" si="6"/>
        <v>0</v>
      </c>
      <c r="AC42" s="200">
        <f t="shared" si="7"/>
        <v>0</v>
      </c>
      <c r="AD42" s="200">
        <f t="shared" si="8"/>
        <v>0</v>
      </c>
      <c r="AE42" s="200">
        <f t="shared" si="9"/>
        <v>0</v>
      </c>
      <c r="AF42" s="200">
        <f t="shared" si="10"/>
        <v>0</v>
      </c>
      <c r="AG42" s="201">
        <f t="shared" si="11"/>
        <v>0</v>
      </c>
      <c r="AH42" s="206">
        <f t="shared" si="12"/>
        <v>0</v>
      </c>
      <c r="AK42" s="123"/>
      <c r="AL42" s="22"/>
      <c r="AM42" s="22"/>
    </row>
    <row r="43" spans="3:39" ht="15" customHeight="1">
      <c r="C43" s="220" t="s">
        <v>4</v>
      </c>
      <c r="D43" s="176" t="s">
        <v>59</v>
      </c>
      <c r="E43" s="177" t="s">
        <v>29</v>
      </c>
      <c r="G43" s="190">
        <f>AuxOPEXGlosas!K75*AuxOPEXGlosas!F$16</f>
        <v>0</v>
      </c>
      <c r="H43" s="181">
        <f>AuxOPEXGlosas!S75*AuxOPEXGlosas!G$16</f>
        <v>0</v>
      </c>
      <c r="I43" s="181">
        <f>AuxOPEXGlosas!AA75*AuxOPEXGlosas!H$16</f>
        <v>0</v>
      </c>
      <c r="J43" s="181">
        <f>AuxOPEXGlosas!AI75*AuxOPEXGlosas!I$16</f>
        <v>0</v>
      </c>
      <c r="K43" s="170">
        <f t="shared" si="13"/>
        <v>0</v>
      </c>
      <c r="L43" s="186">
        <f t="shared" si="14"/>
        <v>0</v>
      </c>
      <c r="N43" s="185">
        <f>+G43+(G43*AuxOPEXGlosas!T$23)</f>
        <v>0</v>
      </c>
      <c r="O43" s="170">
        <f>+H43+(H43*AuxOPEXGlosas!U$23)</f>
        <v>0</v>
      </c>
      <c r="P43" s="170">
        <f>+I43+(I43*AuxOPEXGlosas!V$23)</f>
        <v>0</v>
      </c>
      <c r="Q43" s="170">
        <f>+J43+(J43*AuxOPEXGlosas!W$23)</f>
        <v>0</v>
      </c>
      <c r="R43" s="170">
        <f t="shared" si="2"/>
        <v>0</v>
      </c>
      <c r="S43" s="186">
        <f t="shared" si="3"/>
        <v>0</v>
      </c>
      <c r="U43" s="185">
        <v>1</v>
      </c>
      <c r="V43" s="170">
        <v>1</v>
      </c>
      <c r="W43" s="170">
        <v>1</v>
      </c>
      <c r="X43" s="170">
        <v>1</v>
      </c>
      <c r="Y43" s="170">
        <f t="shared" si="4"/>
        <v>1</v>
      </c>
      <c r="Z43" s="186">
        <f t="shared" si="5"/>
        <v>1</v>
      </c>
      <c r="AB43" s="199">
        <f t="shared" si="6"/>
        <v>0</v>
      </c>
      <c r="AC43" s="200">
        <f t="shared" si="7"/>
        <v>0</v>
      </c>
      <c r="AD43" s="200">
        <f t="shared" si="8"/>
        <v>0</v>
      </c>
      <c r="AE43" s="200">
        <f t="shared" si="9"/>
        <v>0</v>
      </c>
      <c r="AF43" s="200">
        <f t="shared" si="10"/>
        <v>0</v>
      </c>
      <c r="AG43" s="201">
        <f t="shared" si="11"/>
        <v>0</v>
      </c>
      <c r="AH43" s="206">
        <f t="shared" si="12"/>
        <v>0</v>
      </c>
      <c r="AK43" s="124"/>
      <c r="AL43" s="22"/>
      <c r="AM43" s="22"/>
    </row>
    <row r="44" spans="3:39" ht="15" customHeight="1">
      <c r="C44" s="220" t="s">
        <v>5</v>
      </c>
      <c r="D44" s="176" t="s">
        <v>59</v>
      </c>
      <c r="E44" s="177" t="s">
        <v>29</v>
      </c>
      <c r="G44" s="190">
        <f>AuxOPEXGlosas!K106*AuxOPEXGlosas!F$16</f>
        <v>0</v>
      </c>
      <c r="H44" s="181">
        <f>AuxOPEXGlosas!S106*AuxOPEXGlosas!G$16</f>
        <v>0</v>
      </c>
      <c r="I44" s="181">
        <f>AuxOPEXGlosas!AA106*AuxOPEXGlosas!H$16</f>
        <v>0</v>
      </c>
      <c r="J44" s="181">
        <f>AuxOPEXGlosas!AI106*AuxOPEXGlosas!I$16</f>
        <v>0</v>
      </c>
      <c r="K44" s="170">
        <f t="shared" si="13"/>
        <v>0</v>
      </c>
      <c r="L44" s="186">
        <f t="shared" si="14"/>
        <v>0</v>
      </c>
      <c r="N44" s="185">
        <f>+G44+(G44*AuxOPEXGlosas!T$24)</f>
        <v>0</v>
      </c>
      <c r="O44" s="170">
        <f>+H44+(H44*AuxOPEXGlosas!U$24)</f>
        <v>0</v>
      </c>
      <c r="P44" s="170">
        <f>+I44+(I44*AuxOPEXGlosas!V$24)</f>
        <v>0</v>
      </c>
      <c r="Q44" s="170">
        <f>+J44+(J44*AuxOPEXGlosas!W$24)</f>
        <v>0</v>
      </c>
      <c r="R44" s="170">
        <f t="shared" si="2"/>
        <v>0</v>
      </c>
      <c r="S44" s="186">
        <f t="shared" si="3"/>
        <v>0</v>
      </c>
      <c r="U44" s="185">
        <v>1</v>
      </c>
      <c r="V44" s="170">
        <v>1</v>
      </c>
      <c r="W44" s="170">
        <v>1</v>
      </c>
      <c r="X44" s="170">
        <v>1</v>
      </c>
      <c r="Y44" s="170">
        <f t="shared" si="4"/>
        <v>1</v>
      </c>
      <c r="Z44" s="186">
        <f t="shared" si="5"/>
        <v>1</v>
      </c>
      <c r="AB44" s="199">
        <f t="shared" si="6"/>
        <v>0</v>
      </c>
      <c r="AC44" s="200">
        <f t="shared" si="7"/>
        <v>0</v>
      </c>
      <c r="AD44" s="200">
        <f t="shared" si="8"/>
        <v>0</v>
      </c>
      <c r="AE44" s="200">
        <f t="shared" si="9"/>
        <v>0</v>
      </c>
      <c r="AF44" s="200">
        <f t="shared" si="10"/>
        <v>0</v>
      </c>
      <c r="AG44" s="201">
        <f t="shared" si="11"/>
        <v>0</v>
      </c>
      <c r="AH44" s="206">
        <f t="shared" si="12"/>
        <v>0</v>
      </c>
      <c r="AK44" s="124"/>
      <c r="AL44" s="22"/>
      <c r="AM44" s="22"/>
    </row>
    <row r="45" spans="3:39" ht="15" hidden="1" customHeight="1">
      <c r="C45" s="220" t="s">
        <v>18</v>
      </c>
      <c r="D45" s="176" t="s">
        <v>59</v>
      </c>
      <c r="E45" s="177" t="s">
        <v>29</v>
      </c>
      <c r="G45" s="190">
        <f>AuxOPEXGlosas!K108*AuxOPEXGlosas!F$16</f>
        <v>0</v>
      </c>
      <c r="H45" s="181">
        <f>AuxOPEXGlosas!S108*AuxOPEXGlosas!G$16</f>
        <v>0</v>
      </c>
      <c r="I45" s="181">
        <f>AuxOPEXGlosas!AA108*AuxOPEXGlosas!H$16</f>
        <v>0</v>
      </c>
      <c r="J45" s="181">
        <f>AuxOPEXGlosas!AI108*AuxOPEXGlosas!I$16</f>
        <v>0</v>
      </c>
      <c r="K45" s="170">
        <f t="shared" si="13"/>
        <v>0</v>
      </c>
      <c r="L45" s="186">
        <f t="shared" si="14"/>
        <v>0</v>
      </c>
      <c r="N45" s="185">
        <f>+G45+(G45*AuxOPEXGlosas!T$25)</f>
        <v>0</v>
      </c>
      <c r="O45" s="170">
        <f>+H45+(H45*AuxOPEXGlosas!U$25)</f>
        <v>0</v>
      </c>
      <c r="P45" s="170">
        <f>+I45+(I45*AuxOPEXGlosas!V$25)</f>
        <v>0</v>
      </c>
      <c r="Q45" s="170">
        <f>+J45+(J45*AuxOPEXGlosas!W$25)</f>
        <v>0</v>
      </c>
      <c r="R45" s="170">
        <f t="shared" si="2"/>
        <v>0</v>
      </c>
      <c r="S45" s="186">
        <f t="shared" si="3"/>
        <v>0</v>
      </c>
      <c r="U45" s="185">
        <v>1</v>
      </c>
      <c r="V45" s="170">
        <v>1</v>
      </c>
      <c r="W45" s="170">
        <v>1</v>
      </c>
      <c r="X45" s="170">
        <v>1</v>
      </c>
      <c r="Y45" s="170">
        <f t="shared" si="4"/>
        <v>1</v>
      </c>
      <c r="Z45" s="186">
        <f t="shared" si="5"/>
        <v>1</v>
      </c>
      <c r="AB45" s="199">
        <f t="shared" si="6"/>
        <v>0</v>
      </c>
      <c r="AC45" s="200">
        <f t="shared" si="7"/>
        <v>0</v>
      </c>
      <c r="AD45" s="200">
        <f t="shared" si="8"/>
        <v>0</v>
      </c>
      <c r="AE45" s="200">
        <f t="shared" si="9"/>
        <v>0</v>
      </c>
      <c r="AF45" s="200">
        <f t="shared" si="10"/>
        <v>0</v>
      </c>
      <c r="AG45" s="201">
        <f t="shared" si="11"/>
        <v>0</v>
      </c>
      <c r="AH45" s="206">
        <f t="shared" si="12"/>
        <v>0</v>
      </c>
      <c r="AK45" s="124"/>
      <c r="AL45" s="22"/>
      <c r="AM45" s="22"/>
    </row>
    <row r="46" spans="3:39" ht="15" customHeight="1" thickBot="1">
      <c r="C46" s="178" t="s">
        <v>6</v>
      </c>
      <c r="D46" s="179" t="s">
        <v>59</v>
      </c>
      <c r="E46" s="180" t="s">
        <v>29</v>
      </c>
      <c r="G46" s="191">
        <f>AuxOPEXGlosas!K166*AuxOPEXGlosas!F$16</f>
        <v>439012253.78224254</v>
      </c>
      <c r="H46" s="192">
        <f>AuxOPEXGlosas!S166*AuxOPEXGlosas!G$16</f>
        <v>374160940.35176438</v>
      </c>
      <c r="I46" s="192">
        <f>AuxOPEXGlosas!AA166*AuxOPEXGlosas!H$16</f>
        <v>617425980.44257557</v>
      </c>
      <c r="J46" s="192">
        <f>AuxOPEXGlosas!AI166*AuxOPEXGlosas!I$16</f>
        <v>488029195.07999992</v>
      </c>
      <c r="K46" s="188">
        <f t="shared" si="13"/>
        <v>479657092.41414559</v>
      </c>
      <c r="L46" s="189">
        <f t="shared" si="14"/>
        <v>463520724.43112123</v>
      </c>
      <c r="N46" s="187">
        <f>+G46+(G46*AuxOPEXGlosas!T$26)</f>
        <v>-10732015.401604116</v>
      </c>
      <c r="O46" s="188">
        <f>+H46+(H46*AuxOPEXGlosas!U$26)</f>
        <v>-16520448.531210065</v>
      </c>
      <c r="P46" s="188">
        <f>+I46+(I46*AuxOPEXGlosas!V$26)</f>
        <v>-36644824.90342629</v>
      </c>
      <c r="Q46" s="188">
        <f>+J46+(J46*AuxOPEXGlosas!W$26)</f>
        <v>-23313108.407697678</v>
      </c>
      <c r="R46" s="188">
        <f t="shared" si="2"/>
        <v>-21802599.310984537</v>
      </c>
      <c r="S46" s="189">
        <f t="shared" si="3"/>
        <v>-21802599.310984537</v>
      </c>
      <c r="U46" s="187">
        <v>1</v>
      </c>
      <c r="V46" s="188">
        <v>1</v>
      </c>
      <c r="W46" s="188">
        <v>1</v>
      </c>
      <c r="X46" s="188">
        <v>1</v>
      </c>
      <c r="Y46" s="188">
        <f t="shared" si="4"/>
        <v>1</v>
      </c>
      <c r="Z46" s="189">
        <f t="shared" si="5"/>
        <v>1</v>
      </c>
      <c r="AB46" s="202">
        <f t="shared" si="6"/>
        <v>-10732015.401604116</v>
      </c>
      <c r="AC46" s="203">
        <f t="shared" si="7"/>
        <v>-16520448.531210065</v>
      </c>
      <c r="AD46" s="203">
        <f t="shared" si="8"/>
        <v>-36644824.90342629</v>
      </c>
      <c r="AE46" s="203">
        <f t="shared" si="9"/>
        <v>-23313108.407697678</v>
      </c>
      <c r="AF46" s="203">
        <f t="shared" si="10"/>
        <v>-21802599.310984537</v>
      </c>
      <c r="AG46" s="204">
        <f t="shared" si="11"/>
        <v>-19916778.469453871</v>
      </c>
      <c r="AH46" s="207">
        <f t="shared" si="12"/>
        <v>-23313108.407697678</v>
      </c>
      <c r="AK46" s="124"/>
      <c r="AL46" s="22"/>
      <c r="AM46" s="22"/>
    </row>
    <row r="47" spans="3:39" ht="15" customHeight="1">
      <c r="G47" s="18"/>
      <c r="H47" s="18"/>
      <c r="I47" s="18"/>
      <c r="J47" s="18"/>
      <c r="K47" s="18"/>
      <c r="L47" s="18"/>
      <c r="N47" s="18"/>
      <c r="O47" s="18"/>
      <c r="P47" s="18"/>
      <c r="R47" s="18"/>
      <c r="S47" s="18"/>
      <c r="U47" s="18"/>
      <c r="V47" s="18"/>
      <c r="W47" s="18"/>
      <c r="Y47" s="18"/>
      <c r="Z47" s="18"/>
      <c r="AB47" s="18"/>
      <c r="AC47" s="18"/>
      <c r="AD47" s="18"/>
      <c r="AF47" s="18"/>
      <c r="AG47" s="18"/>
      <c r="AH47" s="18"/>
    </row>
    <row r="48" spans="3:39" ht="15" customHeight="1" thickBot="1">
      <c r="G48" s="238" t="s">
        <v>274</v>
      </c>
      <c r="H48" s="18"/>
      <c r="I48" s="18"/>
      <c r="J48" s="18"/>
      <c r="K48" s="18"/>
      <c r="L48" s="18"/>
      <c r="N48" s="18"/>
      <c r="O48" s="18"/>
      <c r="P48" s="18"/>
      <c r="R48" s="18"/>
      <c r="S48" s="18"/>
      <c r="U48" s="18"/>
      <c r="V48" s="18"/>
      <c r="W48" s="18"/>
      <c r="Y48" s="18"/>
      <c r="Z48" s="18"/>
      <c r="AB48" s="237" t="s">
        <v>273</v>
      </c>
      <c r="AC48" s="18"/>
      <c r="AD48" s="18"/>
      <c r="AF48" s="18"/>
      <c r="AG48" s="18"/>
      <c r="AH48" s="18"/>
    </row>
    <row r="49" spans="3:34" ht="15" customHeight="1">
      <c r="C49" s="15" t="s">
        <v>272</v>
      </c>
      <c r="D49" s="172" t="s">
        <v>36</v>
      </c>
      <c r="E49" s="236" t="s">
        <v>17</v>
      </c>
      <c r="G49" s="228">
        <f>AuxOPEXSaneparOriginal!D179</f>
        <v>393</v>
      </c>
      <c r="H49" s="229">
        <f>AuxOPEXSaneparOriginal!AB179</f>
        <v>392</v>
      </c>
      <c r="I49" s="229">
        <f>AuxOPEXSaneparOriginal!AI179</f>
        <v>407</v>
      </c>
      <c r="J49" s="229">
        <f>AuxOPEXSaneparOriginal!AP179</f>
        <v>397</v>
      </c>
      <c r="K49" s="229">
        <f>AVERAGE(G49:J49)</f>
        <v>397.25</v>
      </c>
      <c r="L49" s="230">
        <f>MEDIAN(G49:J49)</f>
        <v>395</v>
      </c>
      <c r="N49" s="228">
        <f>G49</f>
        <v>393</v>
      </c>
      <c r="O49" s="229">
        <f t="shared" ref="O49:S49" si="15">H49</f>
        <v>392</v>
      </c>
      <c r="P49" s="229">
        <f t="shared" si="15"/>
        <v>407</v>
      </c>
      <c r="Q49" s="229">
        <f t="shared" si="15"/>
        <v>397</v>
      </c>
      <c r="R49" s="229">
        <f t="shared" si="15"/>
        <v>397.25</v>
      </c>
      <c r="S49" s="230">
        <f t="shared" si="15"/>
        <v>395</v>
      </c>
      <c r="U49" s="182">
        <f>AuxOPEXDrivers!C6</f>
        <v>756184333</v>
      </c>
      <c r="V49" s="183">
        <f>AuxOPEXDrivers!D6</f>
        <v>760841619</v>
      </c>
      <c r="W49" s="183">
        <f>AuxOPEXDrivers!E6</f>
        <v>778606653</v>
      </c>
      <c r="X49" s="183">
        <f>AuxOPEXDrivers!F6</f>
        <v>764917368</v>
      </c>
      <c r="Y49" s="183">
        <f t="shared" ref="Y49:Y55" si="16">AVERAGE(U49:X49)</f>
        <v>765137493.25</v>
      </c>
      <c r="Z49" s="184">
        <f t="shared" ref="Z49:Z55" si="17">MEDIAN(U49:X49)</f>
        <v>762879493.5</v>
      </c>
      <c r="AB49" s="224">
        <f>N49/U49</f>
        <v>5.1971454954753737E-7</v>
      </c>
      <c r="AC49" s="224">
        <f t="shared" ref="AC49:AE55" si="18">O49/V49</f>
        <v>5.1521892363777228E-7</v>
      </c>
      <c r="AD49" s="224">
        <f t="shared" si="18"/>
        <v>5.2272864408724749E-7</v>
      </c>
      <c r="AE49" s="224">
        <f t="shared" si="18"/>
        <v>5.1901030962079028E-7</v>
      </c>
      <c r="AF49" s="224">
        <f t="shared" ref="AF49:AF55" si="19">AVERAGE(AB49:AE49)</f>
        <v>5.1916810672333688E-7</v>
      </c>
      <c r="AG49" s="225">
        <f t="shared" ref="AG49:AG55" si="20">MEDIAN(AB49:AE49)</f>
        <v>5.1936242958416383E-7</v>
      </c>
      <c r="AH49" s="226">
        <f t="shared" ref="AH49:AH55" si="21">SMALL(AE49:AG49,1)</f>
        <v>5.1901030962079028E-7</v>
      </c>
    </row>
    <row r="50" spans="3:34" ht="15" customHeight="1">
      <c r="C50" s="15"/>
      <c r="D50" s="175" t="s">
        <v>37</v>
      </c>
      <c r="E50" s="177" t="s">
        <v>21</v>
      </c>
      <c r="G50" s="231">
        <f>AuxOPEXSaneparOriginal!E179</f>
        <v>233</v>
      </c>
      <c r="H50" s="227">
        <f>AuxOPEXSaneparOriginal!AC179</f>
        <v>234</v>
      </c>
      <c r="I50" s="227">
        <f>AuxOPEXSaneparOriginal!AJ179</f>
        <v>238</v>
      </c>
      <c r="J50" s="227">
        <f>AuxOPEXSaneparOriginal!AQ179</f>
        <v>229</v>
      </c>
      <c r="K50" s="227">
        <f t="shared" ref="K50:K55" si="22">AVERAGE(G50:J50)</f>
        <v>233.5</v>
      </c>
      <c r="L50" s="232">
        <f t="shared" ref="L50:L55" si="23">MEDIAN(G50:J50)</f>
        <v>233.5</v>
      </c>
      <c r="N50" s="231">
        <f t="shared" ref="N50:N55" si="24">G50</f>
        <v>233</v>
      </c>
      <c r="O50" s="227">
        <f t="shared" ref="O50:O56" si="25">H50</f>
        <v>234</v>
      </c>
      <c r="P50" s="227">
        <f t="shared" ref="P50:P56" si="26">I50</f>
        <v>238</v>
      </c>
      <c r="Q50" s="227">
        <f t="shared" ref="Q50:Q56" si="27">J50</f>
        <v>229</v>
      </c>
      <c r="R50" s="227">
        <f t="shared" ref="R50:R56" si="28">K50</f>
        <v>233.5</v>
      </c>
      <c r="S50" s="232">
        <f t="shared" ref="S50:S56" si="29">L50</f>
        <v>233.5</v>
      </c>
      <c r="U50" s="185">
        <f>AuxOPEXDrivers!C10</f>
        <v>494851646</v>
      </c>
      <c r="V50" s="170">
        <f>AuxOPEXDrivers!D10</f>
        <v>492349965</v>
      </c>
      <c r="W50" s="170">
        <f>AuxOPEXDrivers!E10</f>
        <v>509873761</v>
      </c>
      <c r="X50" s="170">
        <f>AuxOPEXDrivers!F10</f>
        <v>501095943</v>
      </c>
      <c r="Y50" s="170">
        <f t="shared" si="16"/>
        <v>499542828.75</v>
      </c>
      <c r="Z50" s="186">
        <f t="shared" si="17"/>
        <v>497973794.5</v>
      </c>
      <c r="AB50" s="224">
        <f t="shared" ref="AB50:AB55" si="30">N50/U50</f>
        <v>4.7084818628652191E-7</v>
      </c>
      <c r="AC50" s="224">
        <f t="shared" si="18"/>
        <v>4.7527169012797634E-7</v>
      </c>
      <c r="AD50" s="224">
        <f t="shared" si="18"/>
        <v>4.6678220807679494E-7</v>
      </c>
      <c r="AE50" s="224">
        <f t="shared" si="18"/>
        <v>4.5699831179834559E-7</v>
      </c>
      <c r="AF50" s="224">
        <f t="shared" si="19"/>
        <v>4.6747509907240968E-7</v>
      </c>
      <c r="AG50" s="225">
        <f t="shared" si="20"/>
        <v>4.6881519718165842E-7</v>
      </c>
      <c r="AH50" s="226">
        <f t="shared" si="21"/>
        <v>4.5699831179834559E-7</v>
      </c>
    </row>
    <row r="51" spans="3:34" ht="15" customHeight="1">
      <c r="D51" s="175" t="s">
        <v>38</v>
      </c>
      <c r="E51" s="177" t="s">
        <v>24</v>
      </c>
      <c r="G51" s="231">
        <f>0.5*AuxOPEXSaneparOriginal!K179</f>
        <v>30.5</v>
      </c>
      <c r="H51" s="227">
        <f>0.5*AuxOPEXSaneparOriginal!AE179</f>
        <v>32</v>
      </c>
      <c r="I51" s="227">
        <f>0.5*AuxOPEXSaneparOriginal!AL179</f>
        <v>36</v>
      </c>
      <c r="J51" s="227">
        <f>0.5*AuxOPEXSaneparOriginal!AS179</f>
        <v>37</v>
      </c>
      <c r="K51" s="227">
        <f t="shared" si="22"/>
        <v>33.875</v>
      </c>
      <c r="L51" s="232">
        <f t="shared" si="23"/>
        <v>34</v>
      </c>
      <c r="N51" s="231">
        <f t="shared" si="24"/>
        <v>30.5</v>
      </c>
      <c r="O51" s="227">
        <f t="shared" si="25"/>
        <v>32</v>
      </c>
      <c r="P51" s="227">
        <f t="shared" si="26"/>
        <v>36</v>
      </c>
      <c r="Q51" s="227">
        <f t="shared" si="27"/>
        <v>37</v>
      </c>
      <c r="R51" s="227">
        <f t="shared" si="28"/>
        <v>33.875</v>
      </c>
      <c r="S51" s="232">
        <f t="shared" si="29"/>
        <v>34</v>
      </c>
      <c r="U51" s="185">
        <f>AuxOPEXDrivers!C18</f>
        <v>355329189</v>
      </c>
      <c r="V51" s="170">
        <f>AuxOPEXDrivers!D18</f>
        <v>362380051</v>
      </c>
      <c r="W51" s="170">
        <f>AuxOPEXDrivers!E18</f>
        <v>382115054</v>
      </c>
      <c r="X51" s="170">
        <f>AuxOPEXDrivers!F18</f>
        <v>377326945</v>
      </c>
      <c r="Y51" s="170">
        <f t="shared" si="16"/>
        <v>369287809.75</v>
      </c>
      <c r="Z51" s="186">
        <f t="shared" si="17"/>
        <v>369853498</v>
      </c>
      <c r="AB51" s="224">
        <f t="shared" si="30"/>
        <v>8.5835897934070372E-8</v>
      </c>
      <c r="AC51" s="224">
        <f t="shared" si="18"/>
        <v>8.8305081672390409E-8</v>
      </c>
      <c r="AD51" s="224">
        <f t="shared" si="18"/>
        <v>9.4212461987954032E-8</v>
      </c>
      <c r="AE51" s="224">
        <f t="shared" si="18"/>
        <v>9.8058197248542645E-8</v>
      </c>
      <c r="AF51" s="224">
        <f t="shared" si="19"/>
        <v>9.1602909710739368E-8</v>
      </c>
      <c r="AG51" s="225">
        <f t="shared" si="20"/>
        <v>9.1258771830172227E-8</v>
      </c>
      <c r="AH51" s="226">
        <f t="shared" si="21"/>
        <v>9.1258771830172227E-8</v>
      </c>
    </row>
    <row r="52" spans="3:34" ht="15" customHeight="1">
      <c r="D52" s="175" t="s">
        <v>39</v>
      </c>
      <c r="E52" s="177" t="s">
        <v>26</v>
      </c>
      <c r="G52" s="231">
        <f>G51</f>
        <v>30.5</v>
      </c>
      <c r="H52" s="227">
        <f>H51</f>
        <v>32</v>
      </c>
      <c r="I52" s="227">
        <f>I51</f>
        <v>36</v>
      </c>
      <c r="J52" s="227">
        <f>J51</f>
        <v>37</v>
      </c>
      <c r="K52" s="227">
        <f t="shared" si="22"/>
        <v>33.875</v>
      </c>
      <c r="L52" s="232">
        <f t="shared" si="23"/>
        <v>34</v>
      </c>
      <c r="N52" s="231">
        <f t="shared" si="24"/>
        <v>30.5</v>
      </c>
      <c r="O52" s="227">
        <f t="shared" si="25"/>
        <v>32</v>
      </c>
      <c r="P52" s="227">
        <f t="shared" si="26"/>
        <v>36</v>
      </c>
      <c r="Q52" s="227">
        <f t="shared" si="27"/>
        <v>37</v>
      </c>
      <c r="R52" s="227">
        <f t="shared" si="28"/>
        <v>33.875</v>
      </c>
      <c r="S52" s="232">
        <f t="shared" si="29"/>
        <v>34</v>
      </c>
      <c r="U52" s="185">
        <f>AuxOPEXDrivers!C22</f>
        <v>355312711</v>
      </c>
      <c r="V52" s="170">
        <f>AuxOPEXDrivers!D22</f>
        <v>362380051</v>
      </c>
      <c r="W52" s="170">
        <f>AuxOPEXDrivers!E22</f>
        <v>382115054</v>
      </c>
      <c r="X52" s="170">
        <f>AuxOPEXDrivers!F22</f>
        <v>377326945</v>
      </c>
      <c r="Y52" s="170">
        <f t="shared" si="16"/>
        <v>369283690.25</v>
      </c>
      <c r="Z52" s="186">
        <f t="shared" si="17"/>
        <v>369853498</v>
      </c>
      <c r="AB52" s="224">
        <f t="shared" si="30"/>
        <v>8.5839878663952441E-8</v>
      </c>
      <c r="AC52" s="224">
        <f t="shared" si="18"/>
        <v>8.8305081672390409E-8</v>
      </c>
      <c r="AD52" s="224">
        <f t="shared" si="18"/>
        <v>9.4212461987954032E-8</v>
      </c>
      <c r="AE52" s="224">
        <f t="shared" si="18"/>
        <v>9.8058197248542645E-8</v>
      </c>
      <c r="AF52" s="224">
        <f t="shared" si="19"/>
        <v>9.1603904893209888E-8</v>
      </c>
      <c r="AG52" s="225">
        <f t="shared" si="20"/>
        <v>9.1258771830172227E-8</v>
      </c>
      <c r="AH52" s="226">
        <f t="shared" si="21"/>
        <v>9.1258771830172227E-8</v>
      </c>
    </row>
    <row r="53" spans="3:34" ht="15" customHeight="1">
      <c r="D53" s="175" t="s">
        <v>27</v>
      </c>
      <c r="E53" s="177" t="s">
        <v>20</v>
      </c>
      <c r="G53" s="231">
        <f>AuxOPEXSaneparOriginal!N179</f>
        <v>0</v>
      </c>
      <c r="H53" s="227">
        <f>AuxOPEXSaneparOriginal!AF179</f>
        <v>0</v>
      </c>
      <c r="I53" s="227">
        <f>AuxOPEXSaneparOriginal!AM179</f>
        <v>0</v>
      </c>
      <c r="J53" s="227">
        <f>AuxOPEXSaneparOriginal!AT179</f>
        <v>0</v>
      </c>
      <c r="K53" s="227">
        <f t="shared" si="22"/>
        <v>0</v>
      </c>
      <c r="L53" s="232">
        <f t="shared" si="23"/>
        <v>0</v>
      </c>
      <c r="N53" s="231">
        <f t="shared" si="24"/>
        <v>0</v>
      </c>
      <c r="O53" s="227">
        <f t="shared" si="25"/>
        <v>0</v>
      </c>
      <c r="P53" s="227">
        <f t="shared" si="26"/>
        <v>0</v>
      </c>
      <c r="Q53" s="227">
        <f t="shared" si="27"/>
        <v>0</v>
      </c>
      <c r="R53" s="227">
        <f t="shared" si="28"/>
        <v>0</v>
      </c>
      <c r="S53" s="232">
        <f t="shared" si="29"/>
        <v>0</v>
      </c>
      <c r="U53" s="185">
        <f>AuxOPEXDrivers!C14</f>
        <v>3087156</v>
      </c>
      <c r="V53" s="170">
        <f>AuxOPEXDrivers!D14</f>
        <v>3137756</v>
      </c>
      <c r="W53" s="170">
        <f>AuxOPEXDrivers!E14</f>
        <v>3194532</v>
      </c>
      <c r="X53" s="170">
        <f>AuxOPEXDrivers!F14</f>
        <v>3273807</v>
      </c>
      <c r="Y53" s="170">
        <f t="shared" si="16"/>
        <v>3173312.75</v>
      </c>
      <c r="Z53" s="186">
        <f t="shared" si="17"/>
        <v>3166144</v>
      </c>
      <c r="AB53" s="224">
        <f t="shared" si="30"/>
        <v>0</v>
      </c>
      <c r="AC53" s="224">
        <f t="shared" si="18"/>
        <v>0</v>
      </c>
      <c r="AD53" s="224">
        <f t="shared" si="18"/>
        <v>0</v>
      </c>
      <c r="AE53" s="224">
        <f t="shared" si="18"/>
        <v>0</v>
      </c>
      <c r="AF53" s="224">
        <f t="shared" si="19"/>
        <v>0</v>
      </c>
      <c r="AG53" s="225">
        <f t="shared" si="20"/>
        <v>0</v>
      </c>
      <c r="AH53" s="226">
        <f t="shared" si="21"/>
        <v>0</v>
      </c>
    </row>
    <row r="54" spans="3:34" ht="15" customHeight="1">
      <c r="D54" s="175" t="s">
        <v>28</v>
      </c>
      <c r="E54" s="177" t="s">
        <v>29</v>
      </c>
      <c r="G54" s="231">
        <f>AuxOPEXSaneparOriginal!Q179</f>
        <v>0</v>
      </c>
      <c r="H54" s="227">
        <f>AuxOPEXSaneparOriginal!AG179</f>
        <v>0</v>
      </c>
      <c r="I54" s="227">
        <f>AuxOPEXSaneparOriginal!AN179</f>
        <v>0</v>
      </c>
      <c r="J54" s="227">
        <f>AuxOPEXSaneparOriginal!AU179</f>
        <v>0</v>
      </c>
      <c r="K54" s="227">
        <f t="shared" si="22"/>
        <v>0</v>
      </c>
      <c r="L54" s="232">
        <f t="shared" si="23"/>
        <v>0</v>
      </c>
      <c r="N54" s="231">
        <f t="shared" si="24"/>
        <v>0</v>
      </c>
      <c r="O54" s="227">
        <f t="shared" si="25"/>
        <v>0</v>
      </c>
      <c r="P54" s="227">
        <f t="shared" si="26"/>
        <v>0</v>
      </c>
      <c r="Q54" s="227">
        <f t="shared" si="27"/>
        <v>0</v>
      </c>
      <c r="R54" s="227">
        <f t="shared" si="28"/>
        <v>0</v>
      </c>
      <c r="S54" s="232">
        <f t="shared" si="29"/>
        <v>0</v>
      </c>
      <c r="T54" s="18"/>
      <c r="U54" s="185">
        <v>1</v>
      </c>
      <c r="V54" s="170">
        <v>1</v>
      </c>
      <c r="W54" s="170">
        <v>1</v>
      </c>
      <c r="X54" s="170">
        <v>1</v>
      </c>
      <c r="Y54" s="170">
        <f t="shared" si="16"/>
        <v>1</v>
      </c>
      <c r="Z54" s="186">
        <f t="shared" si="17"/>
        <v>1</v>
      </c>
      <c r="AA54" s="125"/>
      <c r="AB54" s="224">
        <f t="shared" si="30"/>
        <v>0</v>
      </c>
      <c r="AC54" s="224">
        <f t="shared" si="18"/>
        <v>0</v>
      </c>
      <c r="AD54" s="224">
        <f t="shared" si="18"/>
        <v>0</v>
      </c>
      <c r="AE54" s="224">
        <f t="shared" si="18"/>
        <v>0</v>
      </c>
      <c r="AF54" s="224">
        <f t="shared" si="19"/>
        <v>0</v>
      </c>
      <c r="AG54" s="225">
        <f t="shared" si="20"/>
        <v>0</v>
      </c>
      <c r="AH54" s="226">
        <f t="shared" si="21"/>
        <v>0</v>
      </c>
    </row>
    <row r="55" spans="3:34" ht="15" customHeight="1" thickBot="1">
      <c r="D55" s="178" t="s">
        <v>59</v>
      </c>
      <c r="E55" s="180" t="s">
        <v>29</v>
      </c>
      <c r="G55" s="233">
        <f>AuxOPEXSaneparOriginal!V179</f>
        <v>0</v>
      </c>
      <c r="H55" s="234">
        <f>AuxOPEXSaneparOriginal!AH179</f>
        <v>0</v>
      </c>
      <c r="I55" s="234">
        <f>AuxOPEXSaneparOriginal!AO179</f>
        <v>0</v>
      </c>
      <c r="J55" s="234">
        <f>AuxOPEXSaneparOriginal!AV179</f>
        <v>0</v>
      </c>
      <c r="K55" s="234">
        <f t="shared" si="22"/>
        <v>0</v>
      </c>
      <c r="L55" s="235">
        <f t="shared" si="23"/>
        <v>0</v>
      </c>
      <c r="N55" s="233">
        <f t="shared" si="24"/>
        <v>0</v>
      </c>
      <c r="O55" s="234">
        <f t="shared" si="25"/>
        <v>0</v>
      </c>
      <c r="P55" s="234">
        <f t="shared" si="26"/>
        <v>0</v>
      </c>
      <c r="Q55" s="234">
        <f t="shared" si="27"/>
        <v>0</v>
      </c>
      <c r="R55" s="234">
        <f t="shared" si="28"/>
        <v>0</v>
      </c>
      <c r="S55" s="235">
        <f t="shared" si="29"/>
        <v>0</v>
      </c>
      <c r="T55" s="18"/>
      <c r="U55" s="187">
        <v>1</v>
      </c>
      <c r="V55" s="188">
        <v>1</v>
      </c>
      <c r="W55" s="188">
        <v>1</v>
      </c>
      <c r="X55" s="188">
        <v>1</v>
      </c>
      <c r="Y55" s="188">
        <f t="shared" si="16"/>
        <v>1</v>
      </c>
      <c r="Z55" s="189">
        <f t="shared" si="17"/>
        <v>1</v>
      </c>
      <c r="AA55" s="125"/>
      <c r="AB55" s="224">
        <f t="shared" si="30"/>
        <v>0</v>
      </c>
      <c r="AC55" s="224">
        <f t="shared" si="18"/>
        <v>0</v>
      </c>
      <c r="AD55" s="224">
        <f t="shared" si="18"/>
        <v>0</v>
      </c>
      <c r="AE55" s="224">
        <f t="shared" si="18"/>
        <v>0</v>
      </c>
      <c r="AF55" s="224">
        <f t="shared" si="19"/>
        <v>0</v>
      </c>
      <c r="AG55" s="225">
        <f t="shared" si="20"/>
        <v>0</v>
      </c>
      <c r="AH55" s="226">
        <f t="shared" si="21"/>
        <v>0</v>
      </c>
    </row>
    <row r="56" spans="3:34" ht="15" customHeight="1">
      <c r="C56" s="15" t="s">
        <v>275</v>
      </c>
      <c r="D56" s="142"/>
      <c r="E56" s="142"/>
      <c r="G56" s="125">
        <f>AuxOPEXGlosas!L107*AuxOPEXGlosas!F16</f>
        <v>430308600.56827569</v>
      </c>
      <c r="H56" s="125">
        <f>AuxOPEXGlosas!T107*AuxOPEXGlosas!G16</f>
        <v>463921577.2092346</v>
      </c>
      <c r="I56" s="125">
        <f>AuxOPEXGlosas!AB107*AuxOPEXGlosas!H16</f>
        <v>500786032.96987611</v>
      </c>
      <c r="J56" s="125">
        <f>AuxOPEXGlosas!AJ107*AuxOPEXGlosas!I16</f>
        <v>448466281.68000001</v>
      </c>
      <c r="K56" s="125">
        <f>AVERAGE(G56:J56)</f>
        <v>460870623.10684663</v>
      </c>
      <c r="L56" s="125">
        <f>MEDIAN(G56:J56)</f>
        <v>456193929.44461727</v>
      </c>
      <c r="N56" s="125">
        <f>G56</f>
        <v>430308600.56827569</v>
      </c>
      <c r="O56" s="125">
        <f t="shared" si="25"/>
        <v>463921577.2092346</v>
      </c>
      <c r="P56" s="125">
        <f t="shared" si="26"/>
        <v>500786032.96987611</v>
      </c>
      <c r="Q56" s="125">
        <f t="shared" si="27"/>
        <v>448466281.68000001</v>
      </c>
      <c r="R56" s="125">
        <f t="shared" si="28"/>
        <v>460870623.10684663</v>
      </c>
      <c r="S56" s="125">
        <f t="shared" si="29"/>
        <v>456193929.44461727</v>
      </c>
      <c r="T56" s="18"/>
      <c r="U56" s="18"/>
      <c r="V56" s="18"/>
      <c r="W56" s="18"/>
      <c r="X56" s="18"/>
      <c r="Y56" s="18"/>
      <c r="Z56" s="18"/>
      <c r="AA56" s="125"/>
      <c r="AB56" s="125">
        <f>N56</f>
        <v>430308600.56827569</v>
      </c>
      <c r="AC56" s="125">
        <f t="shared" ref="AC56:AE56" si="31">O56</f>
        <v>463921577.2092346</v>
      </c>
      <c r="AD56" s="125">
        <f t="shared" si="31"/>
        <v>500786032.96987611</v>
      </c>
      <c r="AE56" s="125">
        <f t="shared" si="31"/>
        <v>448466281.68000001</v>
      </c>
      <c r="AF56" s="125"/>
      <c r="AG56" s="125"/>
      <c r="AH56" s="125"/>
    </row>
    <row r="57" spans="3:34" ht="15" customHeight="1">
      <c r="C57" s="15" t="s">
        <v>276</v>
      </c>
      <c r="D57" s="142"/>
      <c r="E57" s="142"/>
      <c r="G57" s="125">
        <f>G56/(SUM(G49:G55))</f>
        <v>626358.95279224997</v>
      </c>
      <c r="H57" s="125">
        <f>H56/(SUM(H49:H55))</f>
        <v>672350.11189744144</v>
      </c>
      <c r="I57" s="125">
        <f>I56/(SUM(I49:I55))</f>
        <v>698446.35002772126</v>
      </c>
      <c r="J57" s="125">
        <f>J56/(SUM(J49:J55))</f>
        <v>640666.11668571434</v>
      </c>
      <c r="K57" s="125">
        <f>AVERAGE(G57:J57)</f>
        <v>659455.38285078178</v>
      </c>
      <c r="L57" s="125">
        <f>MEDIAN(G57:J57)</f>
        <v>656508.11429157783</v>
      </c>
      <c r="N57" s="125">
        <f>G57</f>
        <v>626358.95279224997</v>
      </c>
      <c r="O57" s="125">
        <f t="shared" ref="O57" si="32">H57</f>
        <v>672350.11189744144</v>
      </c>
      <c r="P57" s="125">
        <f t="shared" ref="P57" si="33">I57</f>
        <v>698446.35002772126</v>
      </c>
      <c r="Q57" s="125">
        <f t="shared" ref="Q57" si="34">J57</f>
        <v>640666.11668571434</v>
      </c>
      <c r="R57" s="125">
        <f t="shared" ref="R57" si="35">K57</f>
        <v>659455.38285078178</v>
      </c>
      <c r="S57" s="125">
        <f t="shared" ref="S57" si="36">L57</f>
        <v>656508.11429157783</v>
      </c>
      <c r="T57" s="18"/>
      <c r="U57" s="18"/>
      <c r="V57" s="18"/>
      <c r="W57" s="18"/>
      <c r="X57" s="18"/>
      <c r="Y57" s="18"/>
      <c r="Z57" s="18"/>
      <c r="AA57" s="125"/>
      <c r="AB57" s="125">
        <f>N57</f>
        <v>626358.95279224997</v>
      </c>
      <c r="AC57" s="125">
        <f t="shared" ref="AC57" si="37">O57</f>
        <v>672350.11189744144</v>
      </c>
      <c r="AD57" s="125">
        <f t="shared" ref="AD57" si="38">P57</f>
        <v>698446.35002772126</v>
      </c>
      <c r="AE57" s="125">
        <f t="shared" ref="AE57" si="39">Q57</f>
        <v>640666.11668571434</v>
      </c>
      <c r="AF57" s="125"/>
      <c r="AG57" s="125"/>
      <c r="AH57" s="125">
        <f>AE57</f>
        <v>640666.11668571434</v>
      </c>
    </row>
    <row r="58" spans="3:34" ht="15" customHeight="1">
      <c r="K58" s="18"/>
      <c r="L58" s="18"/>
      <c r="N58" s="18"/>
      <c r="O58" s="18"/>
      <c r="P58" s="18"/>
      <c r="Q58" s="18"/>
      <c r="R58" s="18"/>
      <c r="T58" s="18"/>
      <c r="U58" s="18"/>
      <c r="V58" s="18"/>
      <c r="W58" s="18"/>
      <c r="X58" s="18"/>
      <c r="Y58" s="18"/>
      <c r="AA58" s="125"/>
      <c r="AB58" s="18"/>
      <c r="AC58" s="18"/>
      <c r="AD58" s="18"/>
      <c r="AE58" s="18"/>
      <c r="AF58" s="18"/>
    </row>
    <row r="59" spans="3:34" ht="15" customHeight="1">
      <c r="G59" s="18"/>
      <c r="H59" s="18"/>
      <c r="I59" s="18"/>
      <c r="J59" s="18"/>
      <c r="K59" s="18"/>
      <c r="L59" s="18"/>
      <c r="N59" s="18"/>
      <c r="O59" s="18"/>
      <c r="P59" s="18"/>
      <c r="Q59" s="18"/>
      <c r="R59" s="18"/>
      <c r="T59" s="18"/>
      <c r="U59" s="18"/>
      <c r="V59" s="18"/>
      <c r="W59" s="18"/>
      <c r="X59" s="18"/>
      <c r="Y59" s="18"/>
      <c r="AA59" s="125"/>
      <c r="AB59" s="18"/>
      <c r="AC59" s="18"/>
      <c r="AD59" s="18"/>
      <c r="AE59" s="18"/>
      <c r="AF59" s="18"/>
    </row>
    <row r="60" spans="3:34" ht="15" customHeight="1">
      <c r="G60" s="15" t="s">
        <v>256</v>
      </c>
      <c r="I60" s="15"/>
      <c r="J60" s="15"/>
      <c r="K60" s="15"/>
      <c r="L60" s="15"/>
      <c r="N60" s="15" t="s">
        <v>257</v>
      </c>
      <c r="P60" s="15"/>
      <c r="Q60" s="15"/>
      <c r="R60" s="15"/>
      <c r="U60" s="15"/>
      <c r="W60" s="15"/>
      <c r="X60" s="15"/>
      <c r="Y60" s="15"/>
      <c r="AB60" s="15"/>
      <c r="AD60" s="15"/>
      <c r="AE60" s="15"/>
      <c r="AF60" s="15"/>
    </row>
    <row r="61" spans="3:34" ht="30" customHeight="1">
      <c r="G61" s="28">
        <v>2017</v>
      </c>
      <c r="H61" s="28">
        <v>2018</v>
      </c>
      <c r="I61" s="28">
        <v>2019</v>
      </c>
      <c r="J61" s="169">
        <v>2020</v>
      </c>
      <c r="K61" s="28" t="s">
        <v>30</v>
      </c>
      <c r="L61" s="28" t="s">
        <v>247</v>
      </c>
      <c r="N61" s="28">
        <v>2017</v>
      </c>
      <c r="O61" s="28">
        <v>2018</v>
      </c>
      <c r="P61" s="28">
        <v>2019</v>
      </c>
      <c r="Q61" s="28">
        <v>2020</v>
      </c>
      <c r="R61" s="23" t="s">
        <v>248</v>
      </c>
      <c r="S61" s="28" t="s">
        <v>249</v>
      </c>
    </row>
    <row r="62" spans="3:34" ht="15" customHeight="1">
      <c r="C62" s="2" t="s">
        <v>2</v>
      </c>
      <c r="G62" s="10">
        <f t="shared" ref="G62:J67" si="40">SUMIF($C$5:$C$46,$C62,G$5:G$46)</f>
        <v>1286610011.7068777</v>
      </c>
      <c r="H62" s="10">
        <f t="shared" si="40"/>
        <v>1272117698.0986791</v>
      </c>
      <c r="I62" s="10">
        <f t="shared" si="40"/>
        <v>1233722903.6696963</v>
      </c>
      <c r="J62" s="10">
        <f t="shared" si="40"/>
        <v>1283438029.3999999</v>
      </c>
      <c r="K62" s="10">
        <f>AVERAGE(G62:J62)</f>
        <v>1268972160.7188132</v>
      </c>
      <c r="L62" s="10">
        <f>MEDIAN(G62:J62)</f>
        <v>1277777863.7493396</v>
      </c>
      <c r="N62" s="10">
        <f t="shared" ref="N62:Q67" si="41">SUMIF($C$4:$C$46,$C62,N$4:N$46)</f>
        <v>1172957835.8532784</v>
      </c>
      <c r="O62" s="10">
        <f t="shared" si="41"/>
        <v>1091185566.2668257</v>
      </c>
      <c r="P62" s="10">
        <f t="shared" si="41"/>
        <v>1117353796.2153711</v>
      </c>
      <c r="Q62" s="10">
        <f t="shared" si="41"/>
        <v>1174786345.0899999</v>
      </c>
      <c r="R62" s="10">
        <f>AVERAGE(N62:Q62)</f>
        <v>1139070885.8563688</v>
      </c>
      <c r="S62" s="10">
        <f>MEDIAN(N62:Q62)</f>
        <v>1145155816.0343246</v>
      </c>
      <c r="U62" s="10"/>
      <c r="V62" s="10"/>
      <c r="W62" s="10"/>
      <c r="X62" s="10"/>
      <c r="Y62" s="10"/>
      <c r="AB62" s="10"/>
      <c r="AC62" s="10"/>
      <c r="AD62" s="10"/>
      <c r="AE62" s="10"/>
      <c r="AF62" s="10"/>
    </row>
    <row r="63" spans="3:34" ht="15" customHeight="1">
      <c r="C63" s="2" t="s">
        <v>3</v>
      </c>
      <c r="G63" s="10">
        <f t="shared" si="40"/>
        <v>84517994.380491525</v>
      </c>
      <c r="H63" s="10">
        <f t="shared" si="40"/>
        <v>78513071.07913065</v>
      </c>
      <c r="I63" s="10">
        <f t="shared" si="40"/>
        <v>87444380.055940628</v>
      </c>
      <c r="J63" s="10">
        <f t="shared" si="40"/>
        <v>71400133.200000003</v>
      </c>
      <c r="K63" s="10">
        <f t="shared" ref="K63:K67" si="42">AVERAGE(G63:J63)</f>
        <v>80468894.678890705</v>
      </c>
      <c r="L63" s="10">
        <f t="shared" ref="L63:L67" si="43">MEDIAN(G63:J63)</f>
        <v>81515532.729811087</v>
      </c>
      <c r="N63" s="10">
        <f t="shared" si="41"/>
        <v>84517994.380491525</v>
      </c>
      <c r="O63" s="10">
        <f t="shared" si="41"/>
        <v>78513071.07913065</v>
      </c>
      <c r="P63" s="10">
        <f t="shared" si="41"/>
        <v>87444380.055940628</v>
      </c>
      <c r="Q63" s="10">
        <f t="shared" si="41"/>
        <v>71400133.200000003</v>
      </c>
      <c r="R63" s="10">
        <f t="shared" ref="R63:R67" si="44">AVERAGE(N63:Q63)</f>
        <v>80468894.678890705</v>
      </c>
      <c r="S63" s="10">
        <f t="shared" ref="S63:S67" si="45">MEDIAN(N63:Q63)</f>
        <v>81515532.729811087</v>
      </c>
      <c r="U63" s="10"/>
      <c r="V63" s="10"/>
      <c r="W63" s="10"/>
      <c r="X63" s="10"/>
      <c r="Y63" s="10"/>
      <c r="AB63" s="10"/>
      <c r="AC63" s="10"/>
      <c r="AD63" s="10"/>
      <c r="AE63" s="10"/>
      <c r="AF63" s="10"/>
    </row>
    <row r="64" spans="3:34" ht="15" customHeight="1">
      <c r="C64" s="2" t="s">
        <v>4</v>
      </c>
      <c r="G64" s="10">
        <f t="shared" si="40"/>
        <v>93482371.801189035</v>
      </c>
      <c r="H64" s="10">
        <f t="shared" si="40"/>
        <v>86501261.795470014</v>
      </c>
      <c r="I64" s="10">
        <f t="shared" si="40"/>
        <v>126753139.95327476</v>
      </c>
      <c r="J64" s="10">
        <f t="shared" si="40"/>
        <v>143969407.82999992</v>
      </c>
      <c r="K64" s="10">
        <f t="shared" si="42"/>
        <v>112676545.34498343</v>
      </c>
      <c r="L64" s="10">
        <f t="shared" si="43"/>
        <v>110117755.8772319</v>
      </c>
      <c r="N64" s="10">
        <f t="shared" si="41"/>
        <v>93482371.801189035</v>
      </c>
      <c r="O64" s="10">
        <f t="shared" si="41"/>
        <v>86501261.795470014</v>
      </c>
      <c r="P64" s="10">
        <f t="shared" si="41"/>
        <v>126753139.95327476</v>
      </c>
      <c r="Q64" s="10">
        <f t="shared" si="41"/>
        <v>143969407.82999992</v>
      </c>
      <c r="R64" s="10">
        <f t="shared" si="44"/>
        <v>112676545.34498343</v>
      </c>
      <c r="S64" s="10">
        <f t="shared" si="45"/>
        <v>110117755.8772319</v>
      </c>
      <c r="U64" s="10"/>
      <c r="V64" s="10"/>
      <c r="W64" s="10"/>
      <c r="X64" s="10"/>
      <c r="Y64" s="10"/>
      <c r="AB64" s="10"/>
      <c r="AC64" s="10"/>
      <c r="AD64" s="10"/>
      <c r="AE64" s="10"/>
      <c r="AF64" s="10"/>
    </row>
    <row r="65" spans="3:32" ht="15" customHeight="1">
      <c r="C65" s="2" t="s">
        <v>5</v>
      </c>
      <c r="G65" s="10">
        <f t="shared" si="40"/>
        <v>614135660.35768139</v>
      </c>
      <c r="H65" s="10">
        <f t="shared" si="40"/>
        <v>639045197.22100949</v>
      </c>
      <c r="I65" s="10">
        <f t="shared" si="40"/>
        <v>639494652.4597702</v>
      </c>
      <c r="J65" s="10">
        <f t="shared" si="40"/>
        <v>630003147.4600004</v>
      </c>
      <c r="K65" s="10">
        <f t="shared" si="42"/>
        <v>630669664.37461543</v>
      </c>
      <c r="L65" s="10">
        <f t="shared" si="43"/>
        <v>634524172.34050488</v>
      </c>
      <c r="M65" s="10"/>
      <c r="N65" s="10">
        <f t="shared" si="41"/>
        <v>614135660.35768139</v>
      </c>
      <c r="O65" s="10">
        <f t="shared" si="41"/>
        <v>639045197.22100949</v>
      </c>
      <c r="P65" s="10">
        <f t="shared" si="41"/>
        <v>639494652.4597702</v>
      </c>
      <c r="Q65" s="10">
        <f t="shared" si="41"/>
        <v>630003147.4600004</v>
      </c>
      <c r="R65" s="10">
        <f t="shared" si="44"/>
        <v>630669664.37461543</v>
      </c>
      <c r="S65" s="10">
        <f t="shared" si="45"/>
        <v>634524172.34050488</v>
      </c>
      <c r="U65" s="10"/>
      <c r="V65" s="10"/>
      <c r="W65" s="10"/>
      <c r="X65" s="10"/>
      <c r="Y65" s="10"/>
      <c r="AB65" s="10"/>
      <c r="AC65" s="10"/>
      <c r="AD65" s="10"/>
      <c r="AE65" s="10"/>
      <c r="AF65" s="10"/>
    </row>
    <row r="66" spans="3:32" ht="15" customHeight="1">
      <c r="C66" s="2" t="s">
        <v>18</v>
      </c>
      <c r="G66" s="10">
        <f t="shared" si="40"/>
        <v>430308600.56827569</v>
      </c>
      <c r="H66" s="10">
        <f t="shared" si="40"/>
        <v>463921577.2092346</v>
      </c>
      <c r="I66" s="10">
        <f t="shared" si="40"/>
        <v>500786032.96987611</v>
      </c>
      <c r="J66" s="10">
        <f t="shared" si="40"/>
        <v>448466281.68000001</v>
      </c>
      <c r="K66" s="10">
        <f t="shared" si="42"/>
        <v>460870623.10684663</v>
      </c>
      <c r="L66" s="10">
        <f t="shared" si="43"/>
        <v>456193929.44461727</v>
      </c>
      <c r="M66" s="10"/>
      <c r="N66" s="10">
        <f>SUMIF($C$4:$C$46,$C66,N$4:N$46)</f>
        <v>430308600.56827569</v>
      </c>
      <c r="O66" s="10">
        <f t="shared" si="41"/>
        <v>463921577.2092346</v>
      </c>
      <c r="P66" s="10">
        <f t="shared" si="41"/>
        <v>500786032.96987611</v>
      </c>
      <c r="Q66" s="10">
        <f t="shared" si="41"/>
        <v>448466281.68000001</v>
      </c>
      <c r="R66" s="10">
        <f t="shared" si="44"/>
        <v>460870623.10684663</v>
      </c>
      <c r="S66" s="10">
        <f t="shared" si="45"/>
        <v>456193929.44461727</v>
      </c>
      <c r="U66" s="10"/>
      <c r="V66" s="10"/>
      <c r="W66" s="10"/>
      <c r="X66" s="10"/>
      <c r="Y66" s="10"/>
      <c r="AB66" s="10"/>
      <c r="AC66" s="10"/>
      <c r="AD66" s="10"/>
      <c r="AE66" s="10"/>
      <c r="AF66" s="10"/>
    </row>
    <row r="67" spans="3:32" ht="15" customHeight="1">
      <c r="C67" s="2" t="s">
        <v>6</v>
      </c>
      <c r="G67" s="10">
        <f t="shared" si="40"/>
        <v>883532854.45636761</v>
      </c>
      <c r="H67" s="10">
        <f t="shared" si="40"/>
        <v>832238459.04052067</v>
      </c>
      <c r="I67" s="10">
        <f t="shared" si="40"/>
        <v>1074608349.6255634</v>
      </c>
      <c r="J67" s="10">
        <f t="shared" si="40"/>
        <v>1013020258.4199995</v>
      </c>
      <c r="K67" s="10">
        <f t="shared" si="42"/>
        <v>950849980.38561285</v>
      </c>
      <c r="L67" s="10">
        <f t="shared" si="43"/>
        <v>948276556.43818355</v>
      </c>
      <c r="M67" s="10"/>
      <c r="N67" s="10">
        <f t="shared" si="41"/>
        <v>-21598686.870713748</v>
      </c>
      <c r="O67" s="10">
        <f t="shared" si="41"/>
        <v>-36746092.778542086</v>
      </c>
      <c r="P67" s="10">
        <f t="shared" si="41"/>
        <v>-63779037.583681896</v>
      </c>
      <c r="Q67" s="10">
        <f t="shared" si="41"/>
        <v>-48391881.760000028</v>
      </c>
      <c r="R67" s="10">
        <f t="shared" si="44"/>
        <v>-42628924.748234436</v>
      </c>
      <c r="S67" s="10">
        <f t="shared" si="45"/>
        <v>-42568987.269271061</v>
      </c>
      <c r="U67" s="10"/>
      <c r="V67" s="10"/>
      <c r="W67" s="10"/>
      <c r="X67" s="10"/>
      <c r="Y67" s="10"/>
      <c r="AB67" s="10"/>
      <c r="AC67" s="10"/>
      <c r="AD67" s="10"/>
      <c r="AE67" s="10"/>
      <c r="AF67" s="10"/>
    </row>
    <row r="68" spans="3:32" ht="15" customHeight="1">
      <c r="G68" s="126">
        <f t="shared" ref="G68:L68" si="46">SUM(G62:G67)</f>
        <v>3392587493.2708826</v>
      </c>
      <c r="H68" s="126">
        <f t="shared" si="46"/>
        <v>3372337264.4440446</v>
      </c>
      <c r="I68" s="126">
        <f t="shared" si="46"/>
        <v>3662809458.7341213</v>
      </c>
      <c r="J68" s="126">
        <f t="shared" si="46"/>
        <v>3590297257.9899998</v>
      </c>
      <c r="K68" s="126">
        <f t="shared" si="46"/>
        <v>3504507868.6097622</v>
      </c>
      <c r="L68" s="126">
        <f t="shared" si="46"/>
        <v>3508405810.5796881</v>
      </c>
      <c r="M68" s="10"/>
      <c r="N68" s="126">
        <f t="shared" ref="N68:S68" si="47">SUM(N62:N67)</f>
        <v>2373803776.0902019</v>
      </c>
      <c r="O68" s="126">
        <f t="shared" si="47"/>
        <v>2322420580.7931285</v>
      </c>
      <c r="P68" s="126">
        <f t="shared" si="47"/>
        <v>2408052964.0705509</v>
      </c>
      <c r="Q68" s="126">
        <f t="shared" si="47"/>
        <v>2420233433.5</v>
      </c>
      <c r="R68" s="126">
        <f t="shared" si="47"/>
        <v>2381127688.6134706</v>
      </c>
      <c r="S68" s="126">
        <f t="shared" si="47"/>
        <v>2384938219.1572189</v>
      </c>
      <c r="U68" s="126"/>
      <c r="V68" s="126"/>
      <c r="W68" s="126"/>
      <c r="X68" s="126"/>
      <c r="Y68" s="126"/>
      <c r="AB68" s="126"/>
      <c r="AC68" s="126"/>
      <c r="AD68" s="126"/>
      <c r="AE68" s="126"/>
      <c r="AF68" s="126"/>
    </row>
    <row r="69" spans="3:32" ht="15" customHeight="1"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U69" s="10"/>
      <c r="V69" s="10"/>
      <c r="W69" s="10"/>
      <c r="X69" s="10"/>
      <c r="Y69" s="10"/>
      <c r="AB69" s="10"/>
      <c r="AC69" s="10"/>
      <c r="AD69" s="10"/>
      <c r="AE69" s="10"/>
      <c r="AF69" s="10"/>
    </row>
    <row r="70" spans="3:32" ht="15" customHeight="1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U70" s="10"/>
      <c r="V70" s="10"/>
      <c r="W70" s="10"/>
      <c r="X70" s="10"/>
      <c r="Y70" s="10"/>
      <c r="AB70" s="10"/>
      <c r="AC70" s="10"/>
      <c r="AD70" s="10"/>
      <c r="AE70" s="10"/>
      <c r="AF70" s="10"/>
    </row>
    <row r="71" spans="3:32" ht="15" customHeight="1">
      <c r="G71" s="10"/>
      <c r="H71" s="10"/>
      <c r="I71" s="10"/>
      <c r="J71" s="10"/>
      <c r="K71" s="10"/>
      <c r="L71" s="10"/>
      <c r="M71" s="10"/>
      <c r="N71" s="127"/>
      <c r="O71" s="127"/>
      <c r="P71" s="127"/>
      <c r="Q71" s="127"/>
      <c r="R71" s="10"/>
      <c r="U71" s="127"/>
      <c r="V71" s="127"/>
      <c r="W71" s="127"/>
      <c r="X71" s="127"/>
      <c r="Y71" s="10"/>
      <c r="AB71" s="127"/>
      <c r="AC71" s="127"/>
      <c r="AD71" s="127"/>
      <c r="AE71" s="127"/>
      <c r="AF71" s="10"/>
    </row>
    <row r="72" spans="3:32" ht="15" customHeight="1">
      <c r="G72" s="10"/>
      <c r="H72" s="10"/>
      <c r="I72" s="10"/>
      <c r="J72" s="10"/>
      <c r="K72" s="10"/>
      <c r="L72" s="10"/>
      <c r="N72" s="127"/>
      <c r="O72" s="127"/>
      <c r="P72" s="127"/>
      <c r="Q72" s="127"/>
      <c r="R72" s="10"/>
      <c r="U72" s="127"/>
      <c r="V72" s="127"/>
      <c r="W72" s="127"/>
      <c r="X72" s="127"/>
      <c r="Y72" s="10"/>
      <c r="AB72" s="127"/>
      <c r="AC72" s="127"/>
      <c r="AD72" s="127"/>
      <c r="AE72" s="127"/>
      <c r="AF72" s="10"/>
    </row>
    <row r="73" spans="3:32" ht="15" customHeight="1">
      <c r="G73" s="10"/>
      <c r="H73" s="10"/>
      <c r="I73" s="10"/>
      <c r="J73" s="10"/>
      <c r="K73" s="10"/>
      <c r="L73" s="10"/>
      <c r="N73" s="127"/>
      <c r="O73" s="127"/>
      <c r="P73" s="127"/>
      <c r="Q73" s="127"/>
      <c r="R73" s="10"/>
      <c r="U73" s="127"/>
      <c r="V73" s="127"/>
      <c r="W73" s="127"/>
      <c r="X73" s="127"/>
      <c r="Y73" s="10"/>
      <c r="AB73" s="127"/>
      <c r="AC73" s="127"/>
      <c r="AD73" s="127"/>
      <c r="AE73" s="127"/>
      <c r="AF73" s="10"/>
    </row>
    <row r="74" spans="3:32" ht="15" customHeight="1">
      <c r="G74" s="10"/>
      <c r="H74" s="10"/>
      <c r="I74" s="10"/>
      <c r="J74" s="10"/>
      <c r="K74" s="10"/>
      <c r="L74" s="10"/>
      <c r="N74" s="127"/>
      <c r="O74" s="127"/>
      <c r="P74" s="127"/>
      <c r="Q74" s="127"/>
      <c r="R74" s="10"/>
      <c r="U74" s="127"/>
      <c r="V74" s="127"/>
      <c r="W74" s="127"/>
      <c r="X74" s="127"/>
      <c r="Y74" s="10"/>
      <c r="AB74" s="127"/>
      <c r="AC74" s="127"/>
      <c r="AD74" s="127"/>
      <c r="AE74" s="127"/>
      <c r="AF74" s="10"/>
    </row>
    <row r="75" spans="3:32" ht="15" customHeight="1">
      <c r="G75" s="10"/>
      <c r="H75" s="10"/>
      <c r="I75" s="10"/>
      <c r="J75" s="10"/>
      <c r="K75" s="10"/>
      <c r="L75" s="10"/>
      <c r="N75" s="127"/>
      <c r="O75" s="127"/>
      <c r="P75" s="127"/>
      <c r="Q75" s="127"/>
      <c r="R75" s="10"/>
      <c r="U75" s="127"/>
      <c r="V75" s="127"/>
      <c r="W75" s="127"/>
      <c r="X75" s="127"/>
      <c r="Y75" s="10"/>
      <c r="AB75" s="127"/>
      <c r="AC75" s="127"/>
      <c r="AD75" s="127"/>
      <c r="AE75" s="127"/>
      <c r="AF75" s="10"/>
    </row>
    <row r="76" spans="3:32" ht="15" customHeight="1">
      <c r="G76" s="10"/>
      <c r="H76" s="10"/>
      <c r="I76" s="10"/>
      <c r="J76" s="10"/>
      <c r="K76" s="10"/>
      <c r="L76" s="10"/>
      <c r="N76" s="127"/>
      <c r="O76" s="127"/>
      <c r="P76" s="127"/>
      <c r="Q76" s="127"/>
      <c r="R76" s="10"/>
      <c r="U76" s="127"/>
      <c r="V76" s="127"/>
      <c r="W76" s="127"/>
      <c r="X76" s="127"/>
      <c r="Y76" s="10"/>
      <c r="AB76" s="127"/>
      <c r="AC76" s="127"/>
      <c r="AD76" s="127"/>
      <c r="AE76" s="127"/>
      <c r="AF76" s="10"/>
    </row>
    <row r="77" spans="3:32" ht="15" customHeight="1">
      <c r="G77" s="126"/>
      <c r="H77" s="126"/>
      <c r="I77" s="126"/>
      <c r="J77" s="126"/>
      <c r="K77" s="126"/>
      <c r="L77" s="126"/>
      <c r="N77" s="127"/>
      <c r="O77" s="127"/>
      <c r="P77" s="127"/>
      <c r="Q77" s="127"/>
      <c r="R77" s="126"/>
      <c r="U77" s="127"/>
      <c r="V77" s="127"/>
      <c r="W77" s="127"/>
      <c r="X77" s="127"/>
      <c r="Y77" s="126"/>
      <c r="AB77" s="127"/>
      <c r="AC77" s="127"/>
      <c r="AD77" s="127"/>
      <c r="AE77" s="127"/>
      <c r="AF77" s="126"/>
    </row>
    <row r="80" spans="3:32" ht="15" customHeight="1">
      <c r="G80" s="10"/>
      <c r="H80" s="10"/>
      <c r="I80" s="10"/>
      <c r="J80" s="10"/>
      <c r="K80" s="10"/>
      <c r="L80" s="10"/>
      <c r="R80" s="10"/>
      <c r="Y80" s="10"/>
      <c r="AF80" s="10"/>
    </row>
    <row r="81" spans="7:32" ht="15" customHeight="1">
      <c r="G81" s="10"/>
      <c r="H81" s="10"/>
      <c r="I81" s="10"/>
      <c r="J81" s="10"/>
      <c r="K81" s="10"/>
      <c r="L81" s="10"/>
      <c r="R81" s="10"/>
      <c r="Y81" s="10"/>
      <c r="AF81" s="10"/>
    </row>
    <row r="82" spans="7:32" ht="15" customHeight="1">
      <c r="G82" s="10"/>
      <c r="H82" s="10"/>
      <c r="I82" s="10"/>
      <c r="J82" s="10"/>
      <c r="K82" s="10"/>
      <c r="L82" s="10"/>
      <c r="R82" s="10"/>
      <c r="Y82" s="10"/>
      <c r="AF82" s="10"/>
    </row>
    <row r="83" spans="7:32" ht="15" customHeight="1">
      <c r="G83" s="10"/>
      <c r="H83" s="10"/>
      <c r="I83" s="10"/>
      <c r="J83" s="10"/>
      <c r="K83" s="10"/>
      <c r="L83" s="10"/>
      <c r="R83" s="10"/>
      <c r="Y83" s="10"/>
      <c r="AF83" s="10"/>
    </row>
    <row r="84" spans="7:32" ht="15" customHeight="1">
      <c r="G84" s="10"/>
      <c r="H84" s="10"/>
      <c r="I84" s="10"/>
      <c r="J84" s="10"/>
      <c r="K84" s="10"/>
      <c r="L84" s="10"/>
      <c r="R84" s="10"/>
      <c r="Y84" s="10"/>
      <c r="AF84" s="10"/>
    </row>
    <row r="85" spans="7:32" ht="15" customHeight="1">
      <c r="G85" s="10"/>
      <c r="H85" s="10"/>
      <c r="I85" s="10"/>
      <c r="J85" s="10"/>
      <c r="K85" s="10"/>
      <c r="L85" s="10"/>
      <c r="R85" s="10"/>
      <c r="Y85" s="10"/>
      <c r="AF85" s="10"/>
    </row>
    <row r="86" spans="7:32" ht="15" customHeight="1">
      <c r="G86" s="10"/>
      <c r="H86" s="10"/>
      <c r="I86" s="10"/>
      <c r="J86" s="10"/>
      <c r="K86" s="10"/>
      <c r="L86" s="10"/>
      <c r="R86" s="10"/>
      <c r="Y86" s="10"/>
      <c r="AF86" s="10"/>
    </row>
    <row r="87" spans="7:32" ht="15" customHeight="1">
      <c r="G87" s="10"/>
    </row>
    <row r="88" spans="7:32" ht="15" customHeight="1">
      <c r="G88" s="10"/>
    </row>
    <row r="117" spans="16:31" ht="15" customHeight="1">
      <c r="P117" s="128"/>
      <c r="Q117" s="128"/>
      <c r="W117" s="128"/>
      <c r="X117" s="128"/>
      <c r="AD117" s="128"/>
      <c r="AE117" s="128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2:S70"/>
  <sheetViews>
    <sheetView showGridLines="0" zoomScale="80" zoomScaleNormal="80" workbookViewId="0">
      <pane xSplit="4" ySplit="3" topLeftCell="I40" activePane="bottomRight" state="frozen"/>
      <selection activeCell="B28" sqref="B28"/>
      <selection pane="topRight" activeCell="B28" sqref="B28"/>
      <selection pane="bottomLeft" activeCell="B28" sqref="B28"/>
      <selection pane="bottomRight" activeCell="M46" sqref="M46"/>
    </sheetView>
  </sheetViews>
  <sheetFormatPr defaultColWidth="9.140625" defaultRowHeight="16.5"/>
  <cols>
    <col min="1" max="1" width="9.140625" style="2"/>
    <col min="2" max="2" width="26.5703125" style="2" bestFit="1" customWidth="1"/>
    <col min="3" max="3" width="18.28515625" style="2" bestFit="1" customWidth="1"/>
    <col min="4" max="4" width="26.42578125" style="2" bestFit="1" customWidth="1"/>
    <col min="5" max="5" width="9.140625" style="2"/>
    <col min="6" max="6" width="17.28515625" style="2" customWidth="1"/>
    <col min="7" max="7" width="21.28515625" style="2" customWidth="1"/>
    <col min="8" max="9" width="20.42578125" style="2" customWidth="1"/>
    <col min="10" max="10" width="9.140625" style="2"/>
    <col min="11" max="11" width="20.42578125" style="2" customWidth="1"/>
    <col min="12" max="12" width="9.140625" style="2"/>
    <col min="13" max="13" width="17.28515625" style="2" customWidth="1"/>
    <col min="14" max="14" width="21.28515625" style="2" customWidth="1"/>
    <col min="15" max="16" width="20.42578125" style="2" customWidth="1"/>
    <col min="17" max="17" width="14.28515625" style="2" customWidth="1"/>
    <col min="18" max="18" width="15.140625" style="2" customWidth="1"/>
    <col min="19" max="26" width="17.28515625" style="2" customWidth="1"/>
    <col min="27" max="259" width="9.140625" style="2"/>
    <col min="260" max="260" width="26.5703125" style="2" bestFit="1" customWidth="1"/>
    <col min="261" max="261" width="13.7109375" style="2" bestFit="1" customWidth="1"/>
    <col min="262" max="262" width="26.42578125" style="2" bestFit="1" customWidth="1"/>
    <col min="263" max="263" width="9.140625" style="2"/>
    <col min="264" max="264" width="14.28515625" style="2" customWidth="1"/>
    <col min="265" max="265" width="28.28515625" style="2" customWidth="1"/>
    <col min="266" max="267" width="15.140625" style="2" customWidth="1"/>
    <col min="268" max="268" width="16.5703125" style="2" customWidth="1"/>
    <col min="269" max="269" width="16.7109375" style="2" customWidth="1"/>
    <col min="270" max="273" width="14.28515625" style="2" customWidth="1"/>
    <col min="274" max="274" width="15.140625" style="2" customWidth="1"/>
    <col min="275" max="275" width="15.42578125" style="2" customWidth="1"/>
    <col min="276" max="276" width="13.28515625" style="2" customWidth="1"/>
    <col min="277" max="278" width="9.140625" style="2" customWidth="1"/>
    <col min="279" max="279" width="26.140625" style="2" customWidth="1"/>
    <col min="280" max="280" width="23.28515625" style="2" customWidth="1"/>
    <col min="281" max="515" width="9.140625" style="2"/>
    <col min="516" max="516" width="26.5703125" style="2" bestFit="1" customWidth="1"/>
    <col min="517" max="517" width="13.7109375" style="2" bestFit="1" customWidth="1"/>
    <col min="518" max="518" width="26.42578125" style="2" bestFit="1" customWidth="1"/>
    <col min="519" max="519" width="9.140625" style="2"/>
    <col min="520" max="520" width="14.28515625" style="2" customWidth="1"/>
    <col min="521" max="521" width="28.28515625" style="2" customWidth="1"/>
    <col min="522" max="523" width="15.140625" style="2" customWidth="1"/>
    <col min="524" max="524" width="16.5703125" style="2" customWidth="1"/>
    <col min="525" max="525" width="16.7109375" style="2" customWidth="1"/>
    <col min="526" max="529" width="14.28515625" style="2" customWidth="1"/>
    <col min="530" max="530" width="15.140625" style="2" customWidth="1"/>
    <col min="531" max="531" width="15.42578125" style="2" customWidth="1"/>
    <col min="532" max="532" width="13.28515625" style="2" customWidth="1"/>
    <col min="533" max="534" width="9.140625" style="2" customWidth="1"/>
    <col min="535" max="535" width="26.140625" style="2" customWidth="1"/>
    <col min="536" max="536" width="23.28515625" style="2" customWidth="1"/>
    <col min="537" max="771" width="9.140625" style="2"/>
    <col min="772" max="772" width="26.5703125" style="2" bestFit="1" customWidth="1"/>
    <col min="773" max="773" width="13.7109375" style="2" bestFit="1" customWidth="1"/>
    <col min="774" max="774" width="26.42578125" style="2" bestFit="1" customWidth="1"/>
    <col min="775" max="775" width="9.140625" style="2"/>
    <col min="776" max="776" width="14.28515625" style="2" customWidth="1"/>
    <col min="777" max="777" width="28.28515625" style="2" customWidth="1"/>
    <col min="778" max="779" width="15.140625" style="2" customWidth="1"/>
    <col min="780" max="780" width="16.5703125" style="2" customWidth="1"/>
    <col min="781" max="781" width="16.7109375" style="2" customWidth="1"/>
    <col min="782" max="785" width="14.28515625" style="2" customWidth="1"/>
    <col min="786" max="786" width="15.140625" style="2" customWidth="1"/>
    <col min="787" max="787" width="15.42578125" style="2" customWidth="1"/>
    <col min="788" max="788" width="13.28515625" style="2" customWidth="1"/>
    <col min="789" max="790" width="9.140625" style="2" customWidth="1"/>
    <col min="791" max="791" width="26.140625" style="2" customWidth="1"/>
    <col min="792" max="792" width="23.28515625" style="2" customWidth="1"/>
    <col min="793" max="1027" width="9.140625" style="2"/>
    <col min="1028" max="1028" width="26.5703125" style="2" bestFit="1" customWidth="1"/>
    <col min="1029" max="1029" width="13.7109375" style="2" bestFit="1" customWidth="1"/>
    <col min="1030" max="1030" width="26.42578125" style="2" bestFit="1" customWidth="1"/>
    <col min="1031" max="1031" width="9.140625" style="2"/>
    <col min="1032" max="1032" width="14.28515625" style="2" customWidth="1"/>
    <col min="1033" max="1033" width="28.28515625" style="2" customWidth="1"/>
    <col min="1034" max="1035" width="15.140625" style="2" customWidth="1"/>
    <col min="1036" max="1036" width="16.5703125" style="2" customWidth="1"/>
    <col min="1037" max="1037" width="16.7109375" style="2" customWidth="1"/>
    <col min="1038" max="1041" width="14.28515625" style="2" customWidth="1"/>
    <col min="1042" max="1042" width="15.140625" style="2" customWidth="1"/>
    <col min="1043" max="1043" width="15.42578125" style="2" customWidth="1"/>
    <col min="1044" max="1044" width="13.28515625" style="2" customWidth="1"/>
    <col min="1045" max="1046" width="9.140625" style="2" customWidth="1"/>
    <col min="1047" max="1047" width="26.140625" style="2" customWidth="1"/>
    <col min="1048" max="1048" width="23.28515625" style="2" customWidth="1"/>
    <col min="1049" max="1283" width="9.140625" style="2"/>
    <col min="1284" max="1284" width="26.5703125" style="2" bestFit="1" customWidth="1"/>
    <col min="1285" max="1285" width="13.7109375" style="2" bestFit="1" customWidth="1"/>
    <col min="1286" max="1286" width="26.42578125" style="2" bestFit="1" customWidth="1"/>
    <col min="1287" max="1287" width="9.140625" style="2"/>
    <col min="1288" max="1288" width="14.28515625" style="2" customWidth="1"/>
    <col min="1289" max="1289" width="28.28515625" style="2" customWidth="1"/>
    <col min="1290" max="1291" width="15.140625" style="2" customWidth="1"/>
    <col min="1292" max="1292" width="16.5703125" style="2" customWidth="1"/>
    <col min="1293" max="1293" width="16.7109375" style="2" customWidth="1"/>
    <col min="1294" max="1297" width="14.28515625" style="2" customWidth="1"/>
    <col min="1298" max="1298" width="15.140625" style="2" customWidth="1"/>
    <col min="1299" max="1299" width="15.42578125" style="2" customWidth="1"/>
    <col min="1300" max="1300" width="13.28515625" style="2" customWidth="1"/>
    <col min="1301" max="1302" width="9.140625" style="2" customWidth="1"/>
    <col min="1303" max="1303" width="26.140625" style="2" customWidth="1"/>
    <col min="1304" max="1304" width="23.28515625" style="2" customWidth="1"/>
    <col min="1305" max="1539" width="9.140625" style="2"/>
    <col min="1540" max="1540" width="26.5703125" style="2" bestFit="1" customWidth="1"/>
    <col min="1541" max="1541" width="13.7109375" style="2" bestFit="1" customWidth="1"/>
    <col min="1542" max="1542" width="26.42578125" style="2" bestFit="1" customWidth="1"/>
    <col min="1543" max="1543" width="9.140625" style="2"/>
    <col min="1544" max="1544" width="14.28515625" style="2" customWidth="1"/>
    <col min="1545" max="1545" width="28.28515625" style="2" customWidth="1"/>
    <col min="1546" max="1547" width="15.140625" style="2" customWidth="1"/>
    <col min="1548" max="1548" width="16.5703125" style="2" customWidth="1"/>
    <col min="1549" max="1549" width="16.7109375" style="2" customWidth="1"/>
    <col min="1550" max="1553" width="14.28515625" style="2" customWidth="1"/>
    <col min="1554" max="1554" width="15.140625" style="2" customWidth="1"/>
    <col min="1555" max="1555" width="15.42578125" style="2" customWidth="1"/>
    <col min="1556" max="1556" width="13.28515625" style="2" customWidth="1"/>
    <col min="1557" max="1558" width="9.140625" style="2" customWidth="1"/>
    <col min="1559" max="1559" width="26.140625" style="2" customWidth="1"/>
    <col min="1560" max="1560" width="23.28515625" style="2" customWidth="1"/>
    <col min="1561" max="1795" width="9.140625" style="2"/>
    <col min="1796" max="1796" width="26.5703125" style="2" bestFit="1" customWidth="1"/>
    <col min="1797" max="1797" width="13.7109375" style="2" bestFit="1" customWidth="1"/>
    <col min="1798" max="1798" width="26.42578125" style="2" bestFit="1" customWidth="1"/>
    <col min="1799" max="1799" width="9.140625" style="2"/>
    <col min="1800" max="1800" width="14.28515625" style="2" customWidth="1"/>
    <col min="1801" max="1801" width="28.28515625" style="2" customWidth="1"/>
    <col min="1802" max="1803" width="15.140625" style="2" customWidth="1"/>
    <col min="1804" max="1804" width="16.5703125" style="2" customWidth="1"/>
    <col min="1805" max="1805" width="16.7109375" style="2" customWidth="1"/>
    <col min="1806" max="1809" width="14.28515625" style="2" customWidth="1"/>
    <col min="1810" max="1810" width="15.140625" style="2" customWidth="1"/>
    <col min="1811" max="1811" width="15.42578125" style="2" customWidth="1"/>
    <col min="1812" max="1812" width="13.28515625" style="2" customWidth="1"/>
    <col min="1813" max="1814" width="9.140625" style="2" customWidth="1"/>
    <col min="1815" max="1815" width="26.140625" style="2" customWidth="1"/>
    <col min="1816" max="1816" width="23.28515625" style="2" customWidth="1"/>
    <col min="1817" max="2051" width="9.140625" style="2"/>
    <col min="2052" max="2052" width="26.5703125" style="2" bestFit="1" customWidth="1"/>
    <col min="2053" max="2053" width="13.7109375" style="2" bestFit="1" customWidth="1"/>
    <col min="2054" max="2054" width="26.42578125" style="2" bestFit="1" customWidth="1"/>
    <col min="2055" max="2055" width="9.140625" style="2"/>
    <col min="2056" max="2056" width="14.28515625" style="2" customWidth="1"/>
    <col min="2057" max="2057" width="28.28515625" style="2" customWidth="1"/>
    <col min="2058" max="2059" width="15.140625" style="2" customWidth="1"/>
    <col min="2060" max="2060" width="16.5703125" style="2" customWidth="1"/>
    <col min="2061" max="2061" width="16.7109375" style="2" customWidth="1"/>
    <col min="2062" max="2065" width="14.28515625" style="2" customWidth="1"/>
    <col min="2066" max="2066" width="15.140625" style="2" customWidth="1"/>
    <col min="2067" max="2067" width="15.42578125" style="2" customWidth="1"/>
    <col min="2068" max="2068" width="13.28515625" style="2" customWidth="1"/>
    <col min="2069" max="2070" width="9.140625" style="2" customWidth="1"/>
    <col min="2071" max="2071" width="26.140625" style="2" customWidth="1"/>
    <col min="2072" max="2072" width="23.28515625" style="2" customWidth="1"/>
    <col min="2073" max="2307" width="9.140625" style="2"/>
    <col min="2308" max="2308" width="26.5703125" style="2" bestFit="1" customWidth="1"/>
    <col min="2309" max="2309" width="13.7109375" style="2" bestFit="1" customWidth="1"/>
    <col min="2310" max="2310" width="26.42578125" style="2" bestFit="1" customWidth="1"/>
    <col min="2311" max="2311" width="9.140625" style="2"/>
    <col min="2312" max="2312" width="14.28515625" style="2" customWidth="1"/>
    <col min="2313" max="2313" width="28.28515625" style="2" customWidth="1"/>
    <col min="2314" max="2315" width="15.140625" style="2" customWidth="1"/>
    <col min="2316" max="2316" width="16.5703125" style="2" customWidth="1"/>
    <col min="2317" max="2317" width="16.7109375" style="2" customWidth="1"/>
    <col min="2318" max="2321" width="14.28515625" style="2" customWidth="1"/>
    <col min="2322" max="2322" width="15.140625" style="2" customWidth="1"/>
    <col min="2323" max="2323" width="15.42578125" style="2" customWidth="1"/>
    <col min="2324" max="2324" width="13.28515625" style="2" customWidth="1"/>
    <col min="2325" max="2326" width="9.140625" style="2" customWidth="1"/>
    <col min="2327" max="2327" width="26.140625" style="2" customWidth="1"/>
    <col min="2328" max="2328" width="23.28515625" style="2" customWidth="1"/>
    <col min="2329" max="2563" width="9.140625" style="2"/>
    <col min="2564" max="2564" width="26.5703125" style="2" bestFit="1" customWidth="1"/>
    <col min="2565" max="2565" width="13.7109375" style="2" bestFit="1" customWidth="1"/>
    <col min="2566" max="2566" width="26.42578125" style="2" bestFit="1" customWidth="1"/>
    <col min="2567" max="2567" width="9.140625" style="2"/>
    <col min="2568" max="2568" width="14.28515625" style="2" customWidth="1"/>
    <col min="2569" max="2569" width="28.28515625" style="2" customWidth="1"/>
    <col min="2570" max="2571" width="15.140625" style="2" customWidth="1"/>
    <col min="2572" max="2572" width="16.5703125" style="2" customWidth="1"/>
    <col min="2573" max="2573" width="16.7109375" style="2" customWidth="1"/>
    <col min="2574" max="2577" width="14.28515625" style="2" customWidth="1"/>
    <col min="2578" max="2578" width="15.140625" style="2" customWidth="1"/>
    <col min="2579" max="2579" width="15.42578125" style="2" customWidth="1"/>
    <col min="2580" max="2580" width="13.28515625" style="2" customWidth="1"/>
    <col min="2581" max="2582" width="9.140625" style="2" customWidth="1"/>
    <col min="2583" max="2583" width="26.140625" style="2" customWidth="1"/>
    <col min="2584" max="2584" width="23.28515625" style="2" customWidth="1"/>
    <col min="2585" max="2819" width="9.140625" style="2"/>
    <col min="2820" max="2820" width="26.5703125" style="2" bestFit="1" customWidth="1"/>
    <col min="2821" max="2821" width="13.7109375" style="2" bestFit="1" customWidth="1"/>
    <col min="2822" max="2822" width="26.42578125" style="2" bestFit="1" customWidth="1"/>
    <col min="2823" max="2823" width="9.140625" style="2"/>
    <col min="2824" max="2824" width="14.28515625" style="2" customWidth="1"/>
    <col min="2825" max="2825" width="28.28515625" style="2" customWidth="1"/>
    <col min="2826" max="2827" width="15.140625" style="2" customWidth="1"/>
    <col min="2828" max="2828" width="16.5703125" style="2" customWidth="1"/>
    <col min="2829" max="2829" width="16.7109375" style="2" customWidth="1"/>
    <col min="2830" max="2833" width="14.28515625" style="2" customWidth="1"/>
    <col min="2834" max="2834" width="15.140625" style="2" customWidth="1"/>
    <col min="2835" max="2835" width="15.42578125" style="2" customWidth="1"/>
    <col min="2836" max="2836" width="13.28515625" style="2" customWidth="1"/>
    <col min="2837" max="2838" width="9.140625" style="2" customWidth="1"/>
    <col min="2839" max="2839" width="26.140625" style="2" customWidth="1"/>
    <col min="2840" max="2840" width="23.28515625" style="2" customWidth="1"/>
    <col min="2841" max="3075" width="9.140625" style="2"/>
    <col min="3076" max="3076" width="26.5703125" style="2" bestFit="1" customWidth="1"/>
    <col min="3077" max="3077" width="13.7109375" style="2" bestFit="1" customWidth="1"/>
    <col min="3078" max="3078" width="26.42578125" style="2" bestFit="1" customWidth="1"/>
    <col min="3079" max="3079" width="9.140625" style="2"/>
    <col min="3080" max="3080" width="14.28515625" style="2" customWidth="1"/>
    <col min="3081" max="3081" width="28.28515625" style="2" customWidth="1"/>
    <col min="3082" max="3083" width="15.140625" style="2" customWidth="1"/>
    <col min="3084" max="3084" width="16.5703125" style="2" customWidth="1"/>
    <col min="3085" max="3085" width="16.7109375" style="2" customWidth="1"/>
    <col min="3086" max="3089" width="14.28515625" style="2" customWidth="1"/>
    <col min="3090" max="3090" width="15.140625" style="2" customWidth="1"/>
    <col min="3091" max="3091" width="15.42578125" style="2" customWidth="1"/>
    <col min="3092" max="3092" width="13.28515625" style="2" customWidth="1"/>
    <col min="3093" max="3094" width="9.140625" style="2" customWidth="1"/>
    <col min="3095" max="3095" width="26.140625" style="2" customWidth="1"/>
    <col min="3096" max="3096" width="23.28515625" style="2" customWidth="1"/>
    <col min="3097" max="3331" width="9.140625" style="2"/>
    <col min="3332" max="3332" width="26.5703125" style="2" bestFit="1" customWidth="1"/>
    <col min="3333" max="3333" width="13.7109375" style="2" bestFit="1" customWidth="1"/>
    <col min="3334" max="3334" width="26.42578125" style="2" bestFit="1" customWidth="1"/>
    <col min="3335" max="3335" width="9.140625" style="2"/>
    <col min="3336" max="3336" width="14.28515625" style="2" customWidth="1"/>
    <col min="3337" max="3337" width="28.28515625" style="2" customWidth="1"/>
    <col min="3338" max="3339" width="15.140625" style="2" customWidth="1"/>
    <col min="3340" max="3340" width="16.5703125" style="2" customWidth="1"/>
    <col min="3341" max="3341" width="16.7109375" style="2" customWidth="1"/>
    <col min="3342" max="3345" width="14.28515625" style="2" customWidth="1"/>
    <col min="3346" max="3346" width="15.140625" style="2" customWidth="1"/>
    <col min="3347" max="3347" width="15.42578125" style="2" customWidth="1"/>
    <col min="3348" max="3348" width="13.28515625" style="2" customWidth="1"/>
    <col min="3349" max="3350" width="9.140625" style="2" customWidth="1"/>
    <col min="3351" max="3351" width="26.140625" style="2" customWidth="1"/>
    <col min="3352" max="3352" width="23.28515625" style="2" customWidth="1"/>
    <col min="3353" max="3587" width="9.140625" style="2"/>
    <col min="3588" max="3588" width="26.5703125" style="2" bestFit="1" customWidth="1"/>
    <col min="3589" max="3589" width="13.7109375" style="2" bestFit="1" customWidth="1"/>
    <col min="3590" max="3590" width="26.42578125" style="2" bestFit="1" customWidth="1"/>
    <col min="3591" max="3591" width="9.140625" style="2"/>
    <col min="3592" max="3592" width="14.28515625" style="2" customWidth="1"/>
    <col min="3593" max="3593" width="28.28515625" style="2" customWidth="1"/>
    <col min="3594" max="3595" width="15.140625" style="2" customWidth="1"/>
    <col min="3596" max="3596" width="16.5703125" style="2" customWidth="1"/>
    <col min="3597" max="3597" width="16.7109375" style="2" customWidth="1"/>
    <col min="3598" max="3601" width="14.28515625" style="2" customWidth="1"/>
    <col min="3602" max="3602" width="15.140625" style="2" customWidth="1"/>
    <col min="3603" max="3603" width="15.42578125" style="2" customWidth="1"/>
    <col min="3604" max="3604" width="13.28515625" style="2" customWidth="1"/>
    <col min="3605" max="3606" width="9.140625" style="2" customWidth="1"/>
    <col min="3607" max="3607" width="26.140625" style="2" customWidth="1"/>
    <col min="3608" max="3608" width="23.28515625" style="2" customWidth="1"/>
    <col min="3609" max="3843" width="9.140625" style="2"/>
    <col min="3844" max="3844" width="26.5703125" style="2" bestFit="1" customWidth="1"/>
    <col min="3845" max="3845" width="13.7109375" style="2" bestFit="1" customWidth="1"/>
    <col min="3846" max="3846" width="26.42578125" style="2" bestFit="1" customWidth="1"/>
    <col min="3847" max="3847" width="9.140625" style="2"/>
    <col min="3848" max="3848" width="14.28515625" style="2" customWidth="1"/>
    <col min="3849" max="3849" width="28.28515625" style="2" customWidth="1"/>
    <col min="3850" max="3851" width="15.140625" style="2" customWidth="1"/>
    <col min="3852" max="3852" width="16.5703125" style="2" customWidth="1"/>
    <col min="3853" max="3853" width="16.7109375" style="2" customWidth="1"/>
    <col min="3854" max="3857" width="14.28515625" style="2" customWidth="1"/>
    <col min="3858" max="3858" width="15.140625" style="2" customWidth="1"/>
    <col min="3859" max="3859" width="15.42578125" style="2" customWidth="1"/>
    <col min="3860" max="3860" width="13.28515625" style="2" customWidth="1"/>
    <col min="3861" max="3862" width="9.140625" style="2" customWidth="1"/>
    <col min="3863" max="3863" width="26.140625" style="2" customWidth="1"/>
    <col min="3864" max="3864" width="23.28515625" style="2" customWidth="1"/>
    <col min="3865" max="4099" width="9.140625" style="2"/>
    <col min="4100" max="4100" width="26.5703125" style="2" bestFit="1" customWidth="1"/>
    <col min="4101" max="4101" width="13.7109375" style="2" bestFit="1" customWidth="1"/>
    <col min="4102" max="4102" width="26.42578125" style="2" bestFit="1" customWidth="1"/>
    <col min="4103" max="4103" width="9.140625" style="2"/>
    <col min="4104" max="4104" width="14.28515625" style="2" customWidth="1"/>
    <col min="4105" max="4105" width="28.28515625" style="2" customWidth="1"/>
    <col min="4106" max="4107" width="15.140625" style="2" customWidth="1"/>
    <col min="4108" max="4108" width="16.5703125" style="2" customWidth="1"/>
    <col min="4109" max="4109" width="16.7109375" style="2" customWidth="1"/>
    <col min="4110" max="4113" width="14.28515625" style="2" customWidth="1"/>
    <col min="4114" max="4114" width="15.140625" style="2" customWidth="1"/>
    <col min="4115" max="4115" width="15.42578125" style="2" customWidth="1"/>
    <col min="4116" max="4116" width="13.28515625" style="2" customWidth="1"/>
    <col min="4117" max="4118" width="9.140625" style="2" customWidth="1"/>
    <col min="4119" max="4119" width="26.140625" style="2" customWidth="1"/>
    <col min="4120" max="4120" width="23.28515625" style="2" customWidth="1"/>
    <col min="4121" max="4355" width="9.140625" style="2"/>
    <col min="4356" max="4356" width="26.5703125" style="2" bestFit="1" customWidth="1"/>
    <col min="4357" max="4357" width="13.7109375" style="2" bestFit="1" customWidth="1"/>
    <col min="4358" max="4358" width="26.42578125" style="2" bestFit="1" customWidth="1"/>
    <col min="4359" max="4359" width="9.140625" style="2"/>
    <col min="4360" max="4360" width="14.28515625" style="2" customWidth="1"/>
    <col min="4361" max="4361" width="28.28515625" style="2" customWidth="1"/>
    <col min="4362" max="4363" width="15.140625" style="2" customWidth="1"/>
    <col min="4364" max="4364" width="16.5703125" style="2" customWidth="1"/>
    <col min="4365" max="4365" width="16.7109375" style="2" customWidth="1"/>
    <col min="4366" max="4369" width="14.28515625" style="2" customWidth="1"/>
    <col min="4370" max="4370" width="15.140625" style="2" customWidth="1"/>
    <col min="4371" max="4371" width="15.42578125" style="2" customWidth="1"/>
    <col min="4372" max="4372" width="13.28515625" style="2" customWidth="1"/>
    <col min="4373" max="4374" width="9.140625" style="2" customWidth="1"/>
    <col min="4375" max="4375" width="26.140625" style="2" customWidth="1"/>
    <col min="4376" max="4376" width="23.28515625" style="2" customWidth="1"/>
    <col min="4377" max="4611" width="9.140625" style="2"/>
    <col min="4612" max="4612" width="26.5703125" style="2" bestFit="1" customWidth="1"/>
    <col min="4613" max="4613" width="13.7109375" style="2" bestFit="1" customWidth="1"/>
    <col min="4614" max="4614" width="26.42578125" style="2" bestFit="1" customWidth="1"/>
    <col min="4615" max="4615" width="9.140625" style="2"/>
    <col min="4616" max="4616" width="14.28515625" style="2" customWidth="1"/>
    <col min="4617" max="4617" width="28.28515625" style="2" customWidth="1"/>
    <col min="4618" max="4619" width="15.140625" style="2" customWidth="1"/>
    <col min="4620" max="4620" width="16.5703125" style="2" customWidth="1"/>
    <col min="4621" max="4621" width="16.7109375" style="2" customWidth="1"/>
    <col min="4622" max="4625" width="14.28515625" style="2" customWidth="1"/>
    <col min="4626" max="4626" width="15.140625" style="2" customWidth="1"/>
    <col min="4627" max="4627" width="15.42578125" style="2" customWidth="1"/>
    <col min="4628" max="4628" width="13.28515625" style="2" customWidth="1"/>
    <col min="4629" max="4630" width="9.140625" style="2" customWidth="1"/>
    <col min="4631" max="4631" width="26.140625" style="2" customWidth="1"/>
    <col min="4632" max="4632" width="23.28515625" style="2" customWidth="1"/>
    <col min="4633" max="4867" width="9.140625" style="2"/>
    <col min="4868" max="4868" width="26.5703125" style="2" bestFit="1" customWidth="1"/>
    <col min="4869" max="4869" width="13.7109375" style="2" bestFit="1" customWidth="1"/>
    <col min="4870" max="4870" width="26.42578125" style="2" bestFit="1" customWidth="1"/>
    <col min="4871" max="4871" width="9.140625" style="2"/>
    <col min="4872" max="4872" width="14.28515625" style="2" customWidth="1"/>
    <col min="4873" max="4873" width="28.28515625" style="2" customWidth="1"/>
    <col min="4874" max="4875" width="15.140625" style="2" customWidth="1"/>
    <col min="4876" max="4876" width="16.5703125" style="2" customWidth="1"/>
    <col min="4877" max="4877" width="16.7109375" style="2" customWidth="1"/>
    <col min="4878" max="4881" width="14.28515625" style="2" customWidth="1"/>
    <col min="4882" max="4882" width="15.140625" style="2" customWidth="1"/>
    <col min="4883" max="4883" width="15.42578125" style="2" customWidth="1"/>
    <col min="4884" max="4884" width="13.28515625" style="2" customWidth="1"/>
    <col min="4885" max="4886" width="9.140625" style="2" customWidth="1"/>
    <col min="4887" max="4887" width="26.140625" style="2" customWidth="1"/>
    <col min="4888" max="4888" width="23.28515625" style="2" customWidth="1"/>
    <col min="4889" max="5123" width="9.140625" style="2"/>
    <col min="5124" max="5124" width="26.5703125" style="2" bestFit="1" customWidth="1"/>
    <col min="5125" max="5125" width="13.7109375" style="2" bestFit="1" customWidth="1"/>
    <col min="5126" max="5126" width="26.42578125" style="2" bestFit="1" customWidth="1"/>
    <col min="5127" max="5127" width="9.140625" style="2"/>
    <col min="5128" max="5128" width="14.28515625" style="2" customWidth="1"/>
    <col min="5129" max="5129" width="28.28515625" style="2" customWidth="1"/>
    <col min="5130" max="5131" width="15.140625" style="2" customWidth="1"/>
    <col min="5132" max="5132" width="16.5703125" style="2" customWidth="1"/>
    <col min="5133" max="5133" width="16.7109375" style="2" customWidth="1"/>
    <col min="5134" max="5137" width="14.28515625" style="2" customWidth="1"/>
    <col min="5138" max="5138" width="15.140625" style="2" customWidth="1"/>
    <col min="5139" max="5139" width="15.42578125" style="2" customWidth="1"/>
    <col min="5140" max="5140" width="13.28515625" style="2" customWidth="1"/>
    <col min="5141" max="5142" width="9.140625" style="2" customWidth="1"/>
    <col min="5143" max="5143" width="26.140625" style="2" customWidth="1"/>
    <col min="5144" max="5144" width="23.28515625" style="2" customWidth="1"/>
    <col min="5145" max="5379" width="9.140625" style="2"/>
    <col min="5380" max="5380" width="26.5703125" style="2" bestFit="1" customWidth="1"/>
    <col min="5381" max="5381" width="13.7109375" style="2" bestFit="1" customWidth="1"/>
    <col min="5382" max="5382" width="26.42578125" style="2" bestFit="1" customWidth="1"/>
    <col min="5383" max="5383" width="9.140625" style="2"/>
    <col min="5384" max="5384" width="14.28515625" style="2" customWidth="1"/>
    <col min="5385" max="5385" width="28.28515625" style="2" customWidth="1"/>
    <col min="5386" max="5387" width="15.140625" style="2" customWidth="1"/>
    <col min="5388" max="5388" width="16.5703125" style="2" customWidth="1"/>
    <col min="5389" max="5389" width="16.7109375" style="2" customWidth="1"/>
    <col min="5390" max="5393" width="14.28515625" style="2" customWidth="1"/>
    <col min="5394" max="5394" width="15.140625" style="2" customWidth="1"/>
    <col min="5395" max="5395" width="15.42578125" style="2" customWidth="1"/>
    <col min="5396" max="5396" width="13.28515625" style="2" customWidth="1"/>
    <col min="5397" max="5398" width="9.140625" style="2" customWidth="1"/>
    <col min="5399" max="5399" width="26.140625" style="2" customWidth="1"/>
    <col min="5400" max="5400" width="23.28515625" style="2" customWidth="1"/>
    <col min="5401" max="5635" width="9.140625" style="2"/>
    <col min="5636" max="5636" width="26.5703125" style="2" bestFit="1" customWidth="1"/>
    <col min="5637" max="5637" width="13.7109375" style="2" bestFit="1" customWidth="1"/>
    <col min="5638" max="5638" width="26.42578125" style="2" bestFit="1" customWidth="1"/>
    <col min="5639" max="5639" width="9.140625" style="2"/>
    <col min="5640" max="5640" width="14.28515625" style="2" customWidth="1"/>
    <col min="5641" max="5641" width="28.28515625" style="2" customWidth="1"/>
    <col min="5642" max="5643" width="15.140625" style="2" customWidth="1"/>
    <col min="5644" max="5644" width="16.5703125" style="2" customWidth="1"/>
    <col min="5645" max="5645" width="16.7109375" style="2" customWidth="1"/>
    <col min="5646" max="5649" width="14.28515625" style="2" customWidth="1"/>
    <col min="5650" max="5650" width="15.140625" style="2" customWidth="1"/>
    <col min="5651" max="5651" width="15.42578125" style="2" customWidth="1"/>
    <col min="5652" max="5652" width="13.28515625" style="2" customWidth="1"/>
    <col min="5653" max="5654" width="9.140625" style="2" customWidth="1"/>
    <col min="5655" max="5655" width="26.140625" style="2" customWidth="1"/>
    <col min="5656" max="5656" width="23.28515625" style="2" customWidth="1"/>
    <col min="5657" max="5891" width="9.140625" style="2"/>
    <col min="5892" max="5892" width="26.5703125" style="2" bestFit="1" customWidth="1"/>
    <col min="5893" max="5893" width="13.7109375" style="2" bestFit="1" customWidth="1"/>
    <col min="5894" max="5894" width="26.42578125" style="2" bestFit="1" customWidth="1"/>
    <col min="5895" max="5895" width="9.140625" style="2"/>
    <col min="5896" max="5896" width="14.28515625" style="2" customWidth="1"/>
    <col min="5897" max="5897" width="28.28515625" style="2" customWidth="1"/>
    <col min="5898" max="5899" width="15.140625" style="2" customWidth="1"/>
    <col min="5900" max="5900" width="16.5703125" style="2" customWidth="1"/>
    <col min="5901" max="5901" width="16.7109375" style="2" customWidth="1"/>
    <col min="5902" max="5905" width="14.28515625" style="2" customWidth="1"/>
    <col min="5906" max="5906" width="15.140625" style="2" customWidth="1"/>
    <col min="5907" max="5907" width="15.42578125" style="2" customWidth="1"/>
    <col min="5908" max="5908" width="13.28515625" style="2" customWidth="1"/>
    <col min="5909" max="5910" width="9.140625" style="2" customWidth="1"/>
    <col min="5911" max="5911" width="26.140625" style="2" customWidth="1"/>
    <col min="5912" max="5912" width="23.28515625" style="2" customWidth="1"/>
    <col min="5913" max="6147" width="9.140625" style="2"/>
    <col min="6148" max="6148" width="26.5703125" style="2" bestFit="1" customWidth="1"/>
    <col min="6149" max="6149" width="13.7109375" style="2" bestFit="1" customWidth="1"/>
    <col min="6150" max="6150" width="26.42578125" style="2" bestFit="1" customWidth="1"/>
    <col min="6151" max="6151" width="9.140625" style="2"/>
    <col min="6152" max="6152" width="14.28515625" style="2" customWidth="1"/>
    <col min="6153" max="6153" width="28.28515625" style="2" customWidth="1"/>
    <col min="6154" max="6155" width="15.140625" style="2" customWidth="1"/>
    <col min="6156" max="6156" width="16.5703125" style="2" customWidth="1"/>
    <col min="6157" max="6157" width="16.7109375" style="2" customWidth="1"/>
    <col min="6158" max="6161" width="14.28515625" style="2" customWidth="1"/>
    <col min="6162" max="6162" width="15.140625" style="2" customWidth="1"/>
    <col min="6163" max="6163" width="15.42578125" style="2" customWidth="1"/>
    <col min="6164" max="6164" width="13.28515625" style="2" customWidth="1"/>
    <col min="6165" max="6166" width="9.140625" style="2" customWidth="1"/>
    <col min="6167" max="6167" width="26.140625" style="2" customWidth="1"/>
    <col min="6168" max="6168" width="23.28515625" style="2" customWidth="1"/>
    <col min="6169" max="6403" width="9.140625" style="2"/>
    <col min="6404" max="6404" width="26.5703125" style="2" bestFit="1" customWidth="1"/>
    <col min="6405" max="6405" width="13.7109375" style="2" bestFit="1" customWidth="1"/>
    <col min="6406" max="6406" width="26.42578125" style="2" bestFit="1" customWidth="1"/>
    <col min="6407" max="6407" width="9.140625" style="2"/>
    <col min="6408" max="6408" width="14.28515625" style="2" customWidth="1"/>
    <col min="6409" max="6409" width="28.28515625" style="2" customWidth="1"/>
    <col min="6410" max="6411" width="15.140625" style="2" customWidth="1"/>
    <col min="6412" max="6412" width="16.5703125" style="2" customWidth="1"/>
    <col min="6413" max="6413" width="16.7109375" style="2" customWidth="1"/>
    <col min="6414" max="6417" width="14.28515625" style="2" customWidth="1"/>
    <col min="6418" max="6418" width="15.140625" style="2" customWidth="1"/>
    <col min="6419" max="6419" width="15.42578125" style="2" customWidth="1"/>
    <col min="6420" max="6420" width="13.28515625" style="2" customWidth="1"/>
    <col min="6421" max="6422" width="9.140625" style="2" customWidth="1"/>
    <col min="6423" max="6423" width="26.140625" style="2" customWidth="1"/>
    <col min="6424" max="6424" width="23.28515625" style="2" customWidth="1"/>
    <col min="6425" max="6659" width="9.140625" style="2"/>
    <col min="6660" max="6660" width="26.5703125" style="2" bestFit="1" customWidth="1"/>
    <col min="6661" max="6661" width="13.7109375" style="2" bestFit="1" customWidth="1"/>
    <col min="6662" max="6662" width="26.42578125" style="2" bestFit="1" customWidth="1"/>
    <col min="6663" max="6663" width="9.140625" style="2"/>
    <col min="6664" max="6664" width="14.28515625" style="2" customWidth="1"/>
    <col min="6665" max="6665" width="28.28515625" style="2" customWidth="1"/>
    <col min="6666" max="6667" width="15.140625" style="2" customWidth="1"/>
    <col min="6668" max="6668" width="16.5703125" style="2" customWidth="1"/>
    <col min="6669" max="6669" width="16.7109375" style="2" customWidth="1"/>
    <col min="6670" max="6673" width="14.28515625" style="2" customWidth="1"/>
    <col min="6674" max="6674" width="15.140625" style="2" customWidth="1"/>
    <col min="6675" max="6675" width="15.42578125" style="2" customWidth="1"/>
    <col min="6676" max="6676" width="13.28515625" style="2" customWidth="1"/>
    <col min="6677" max="6678" width="9.140625" style="2" customWidth="1"/>
    <col min="6679" max="6679" width="26.140625" style="2" customWidth="1"/>
    <col min="6680" max="6680" width="23.28515625" style="2" customWidth="1"/>
    <col min="6681" max="6915" width="9.140625" style="2"/>
    <col min="6916" max="6916" width="26.5703125" style="2" bestFit="1" customWidth="1"/>
    <col min="6917" max="6917" width="13.7109375" style="2" bestFit="1" customWidth="1"/>
    <col min="6918" max="6918" width="26.42578125" style="2" bestFit="1" customWidth="1"/>
    <col min="6919" max="6919" width="9.140625" style="2"/>
    <col min="6920" max="6920" width="14.28515625" style="2" customWidth="1"/>
    <col min="6921" max="6921" width="28.28515625" style="2" customWidth="1"/>
    <col min="6922" max="6923" width="15.140625" style="2" customWidth="1"/>
    <col min="6924" max="6924" width="16.5703125" style="2" customWidth="1"/>
    <col min="6925" max="6925" width="16.7109375" style="2" customWidth="1"/>
    <col min="6926" max="6929" width="14.28515625" style="2" customWidth="1"/>
    <col min="6930" max="6930" width="15.140625" style="2" customWidth="1"/>
    <col min="6931" max="6931" width="15.42578125" style="2" customWidth="1"/>
    <col min="6932" max="6932" width="13.28515625" style="2" customWidth="1"/>
    <col min="6933" max="6934" width="9.140625" style="2" customWidth="1"/>
    <col min="6935" max="6935" width="26.140625" style="2" customWidth="1"/>
    <col min="6936" max="6936" width="23.28515625" style="2" customWidth="1"/>
    <col min="6937" max="7171" width="9.140625" style="2"/>
    <col min="7172" max="7172" width="26.5703125" style="2" bestFit="1" customWidth="1"/>
    <col min="7173" max="7173" width="13.7109375" style="2" bestFit="1" customWidth="1"/>
    <col min="7174" max="7174" width="26.42578125" style="2" bestFit="1" customWidth="1"/>
    <col min="7175" max="7175" width="9.140625" style="2"/>
    <col min="7176" max="7176" width="14.28515625" style="2" customWidth="1"/>
    <col min="7177" max="7177" width="28.28515625" style="2" customWidth="1"/>
    <col min="7178" max="7179" width="15.140625" style="2" customWidth="1"/>
    <col min="7180" max="7180" width="16.5703125" style="2" customWidth="1"/>
    <col min="7181" max="7181" width="16.7109375" style="2" customWidth="1"/>
    <col min="7182" max="7185" width="14.28515625" style="2" customWidth="1"/>
    <col min="7186" max="7186" width="15.140625" style="2" customWidth="1"/>
    <col min="7187" max="7187" width="15.42578125" style="2" customWidth="1"/>
    <col min="7188" max="7188" width="13.28515625" style="2" customWidth="1"/>
    <col min="7189" max="7190" width="9.140625" style="2" customWidth="1"/>
    <col min="7191" max="7191" width="26.140625" style="2" customWidth="1"/>
    <col min="7192" max="7192" width="23.28515625" style="2" customWidth="1"/>
    <col min="7193" max="7427" width="9.140625" style="2"/>
    <col min="7428" max="7428" width="26.5703125" style="2" bestFit="1" customWidth="1"/>
    <col min="7429" max="7429" width="13.7109375" style="2" bestFit="1" customWidth="1"/>
    <col min="7430" max="7430" width="26.42578125" style="2" bestFit="1" customWidth="1"/>
    <col min="7431" max="7431" width="9.140625" style="2"/>
    <col min="7432" max="7432" width="14.28515625" style="2" customWidth="1"/>
    <col min="7433" max="7433" width="28.28515625" style="2" customWidth="1"/>
    <col min="7434" max="7435" width="15.140625" style="2" customWidth="1"/>
    <col min="7436" max="7436" width="16.5703125" style="2" customWidth="1"/>
    <col min="7437" max="7437" width="16.7109375" style="2" customWidth="1"/>
    <col min="7438" max="7441" width="14.28515625" style="2" customWidth="1"/>
    <col min="7442" max="7442" width="15.140625" style="2" customWidth="1"/>
    <col min="7443" max="7443" width="15.42578125" style="2" customWidth="1"/>
    <col min="7444" max="7444" width="13.28515625" style="2" customWidth="1"/>
    <col min="7445" max="7446" width="9.140625" style="2" customWidth="1"/>
    <col min="7447" max="7447" width="26.140625" style="2" customWidth="1"/>
    <col min="7448" max="7448" width="23.28515625" style="2" customWidth="1"/>
    <col min="7449" max="7683" width="9.140625" style="2"/>
    <col min="7684" max="7684" width="26.5703125" style="2" bestFit="1" customWidth="1"/>
    <col min="7685" max="7685" width="13.7109375" style="2" bestFit="1" customWidth="1"/>
    <col min="7686" max="7686" width="26.42578125" style="2" bestFit="1" customWidth="1"/>
    <col min="7687" max="7687" width="9.140625" style="2"/>
    <col min="7688" max="7688" width="14.28515625" style="2" customWidth="1"/>
    <col min="7689" max="7689" width="28.28515625" style="2" customWidth="1"/>
    <col min="7690" max="7691" width="15.140625" style="2" customWidth="1"/>
    <col min="7692" max="7692" width="16.5703125" style="2" customWidth="1"/>
    <col min="7693" max="7693" width="16.7109375" style="2" customWidth="1"/>
    <col min="7694" max="7697" width="14.28515625" style="2" customWidth="1"/>
    <col min="7698" max="7698" width="15.140625" style="2" customWidth="1"/>
    <col min="7699" max="7699" width="15.42578125" style="2" customWidth="1"/>
    <col min="7700" max="7700" width="13.28515625" style="2" customWidth="1"/>
    <col min="7701" max="7702" width="9.140625" style="2" customWidth="1"/>
    <col min="7703" max="7703" width="26.140625" style="2" customWidth="1"/>
    <col min="7704" max="7704" width="23.28515625" style="2" customWidth="1"/>
    <col min="7705" max="7939" width="9.140625" style="2"/>
    <col min="7940" max="7940" width="26.5703125" style="2" bestFit="1" customWidth="1"/>
    <col min="7941" max="7941" width="13.7109375" style="2" bestFit="1" customWidth="1"/>
    <col min="7942" max="7942" width="26.42578125" style="2" bestFit="1" customWidth="1"/>
    <col min="7943" max="7943" width="9.140625" style="2"/>
    <col min="7944" max="7944" width="14.28515625" style="2" customWidth="1"/>
    <col min="7945" max="7945" width="28.28515625" style="2" customWidth="1"/>
    <col min="7946" max="7947" width="15.140625" style="2" customWidth="1"/>
    <col min="7948" max="7948" width="16.5703125" style="2" customWidth="1"/>
    <col min="7949" max="7949" width="16.7109375" style="2" customWidth="1"/>
    <col min="7950" max="7953" width="14.28515625" style="2" customWidth="1"/>
    <col min="7954" max="7954" width="15.140625" style="2" customWidth="1"/>
    <col min="7955" max="7955" width="15.42578125" style="2" customWidth="1"/>
    <col min="7956" max="7956" width="13.28515625" style="2" customWidth="1"/>
    <col min="7957" max="7958" width="9.140625" style="2" customWidth="1"/>
    <col min="7959" max="7959" width="26.140625" style="2" customWidth="1"/>
    <col min="7960" max="7960" width="23.28515625" style="2" customWidth="1"/>
    <col min="7961" max="8195" width="9.140625" style="2"/>
    <col min="8196" max="8196" width="26.5703125" style="2" bestFit="1" customWidth="1"/>
    <col min="8197" max="8197" width="13.7109375" style="2" bestFit="1" customWidth="1"/>
    <col min="8198" max="8198" width="26.42578125" style="2" bestFit="1" customWidth="1"/>
    <col min="8199" max="8199" width="9.140625" style="2"/>
    <col min="8200" max="8200" width="14.28515625" style="2" customWidth="1"/>
    <col min="8201" max="8201" width="28.28515625" style="2" customWidth="1"/>
    <col min="8202" max="8203" width="15.140625" style="2" customWidth="1"/>
    <col min="8204" max="8204" width="16.5703125" style="2" customWidth="1"/>
    <col min="8205" max="8205" width="16.7109375" style="2" customWidth="1"/>
    <col min="8206" max="8209" width="14.28515625" style="2" customWidth="1"/>
    <col min="8210" max="8210" width="15.140625" style="2" customWidth="1"/>
    <col min="8211" max="8211" width="15.42578125" style="2" customWidth="1"/>
    <col min="8212" max="8212" width="13.28515625" style="2" customWidth="1"/>
    <col min="8213" max="8214" width="9.140625" style="2" customWidth="1"/>
    <col min="8215" max="8215" width="26.140625" style="2" customWidth="1"/>
    <col min="8216" max="8216" width="23.28515625" style="2" customWidth="1"/>
    <col min="8217" max="8451" width="9.140625" style="2"/>
    <col min="8452" max="8452" width="26.5703125" style="2" bestFit="1" customWidth="1"/>
    <col min="8453" max="8453" width="13.7109375" style="2" bestFit="1" customWidth="1"/>
    <col min="8454" max="8454" width="26.42578125" style="2" bestFit="1" customWidth="1"/>
    <col min="8455" max="8455" width="9.140625" style="2"/>
    <col min="8456" max="8456" width="14.28515625" style="2" customWidth="1"/>
    <col min="8457" max="8457" width="28.28515625" style="2" customWidth="1"/>
    <col min="8458" max="8459" width="15.140625" style="2" customWidth="1"/>
    <col min="8460" max="8460" width="16.5703125" style="2" customWidth="1"/>
    <col min="8461" max="8461" width="16.7109375" style="2" customWidth="1"/>
    <col min="8462" max="8465" width="14.28515625" style="2" customWidth="1"/>
    <col min="8466" max="8466" width="15.140625" style="2" customWidth="1"/>
    <col min="8467" max="8467" width="15.42578125" style="2" customWidth="1"/>
    <col min="8468" max="8468" width="13.28515625" style="2" customWidth="1"/>
    <col min="8469" max="8470" width="9.140625" style="2" customWidth="1"/>
    <col min="8471" max="8471" width="26.140625" style="2" customWidth="1"/>
    <col min="8472" max="8472" width="23.28515625" style="2" customWidth="1"/>
    <col min="8473" max="8707" width="9.140625" style="2"/>
    <col min="8708" max="8708" width="26.5703125" style="2" bestFit="1" customWidth="1"/>
    <col min="8709" max="8709" width="13.7109375" style="2" bestFit="1" customWidth="1"/>
    <col min="8710" max="8710" width="26.42578125" style="2" bestFit="1" customWidth="1"/>
    <col min="8711" max="8711" width="9.140625" style="2"/>
    <col min="8712" max="8712" width="14.28515625" style="2" customWidth="1"/>
    <col min="8713" max="8713" width="28.28515625" style="2" customWidth="1"/>
    <col min="8714" max="8715" width="15.140625" style="2" customWidth="1"/>
    <col min="8716" max="8716" width="16.5703125" style="2" customWidth="1"/>
    <col min="8717" max="8717" width="16.7109375" style="2" customWidth="1"/>
    <col min="8718" max="8721" width="14.28515625" style="2" customWidth="1"/>
    <col min="8722" max="8722" width="15.140625" style="2" customWidth="1"/>
    <col min="8723" max="8723" width="15.42578125" style="2" customWidth="1"/>
    <col min="8724" max="8724" width="13.28515625" style="2" customWidth="1"/>
    <col min="8725" max="8726" width="9.140625" style="2" customWidth="1"/>
    <col min="8727" max="8727" width="26.140625" style="2" customWidth="1"/>
    <col min="8728" max="8728" width="23.28515625" style="2" customWidth="1"/>
    <col min="8729" max="8963" width="9.140625" style="2"/>
    <col min="8964" max="8964" width="26.5703125" style="2" bestFit="1" customWidth="1"/>
    <col min="8965" max="8965" width="13.7109375" style="2" bestFit="1" customWidth="1"/>
    <col min="8966" max="8966" width="26.42578125" style="2" bestFit="1" customWidth="1"/>
    <col min="8967" max="8967" width="9.140625" style="2"/>
    <col min="8968" max="8968" width="14.28515625" style="2" customWidth="1"/>
    <col min="8969" max="8969" width="28.28515625" style="2" customWidth="1"/>
    <col min="8970" max="8971" width="15.140625" style="2" customWidth="1"/>
    <col min="8972" max="8972" width="16.5703125" style="2" customWidth="1"/>
    <col min="8973" max="8973" width="16.7109375" style="2" customWidth="1"/>
    <col min="8974" max="8977" width="14.28515625" style="2" customWidth="1"/>
    <col min="8978" max="8978" width="15.140625" style="2" customWidth="1"/>
    <col min="8979" max="8979" width="15.42578125" style="2" customWidth="1"/>
    <col min="8980" max="8980" width="13.28515625" style="2" customWidth="1"/>
    <col min="8981" max="8982" width="9.140625" style="2" customWidth="1"/>
    <col min="8983" max="8983" width="26.140625" style="2" customWidth="1"/>
    <col min="8984" max="8984" width="23.28515625" style="2" customWidth="1"/>
    <col min="8985" max="9219" width="9.140625" style="2"/>
    <col min="9220" max="9220" width="26.5703125" style="2" bestFit="1" customWidth="1"/>
    <col min="9221" max="9221" width="13.7109375" style="2" bestFit="1" customWidth="1"/>
    <col min="9222" max="9222" width="26.42578125" style="2" bestFit="1" customWidth="1"/>
    <col min="9223" max="9223" width="9.140625" style="2"/>
    <col min="9224" max="9224" width="14.28515625" style="2" customWidth="1"/>
    <col min="9225" max="9225" width="28.28515625" style="2" customWidth="1"/>
    <col min="9226" max="9227" width="15.140625" style="2" customWidth="1"/>
    <col min="9228" max="9228" width="16.5703125" style="2" customWidth="1"/>
    <col min="9229" max="9229" width="16.7109375" style="2" customWidth="1"/>
    <col min="9230" max="9233" width="14.28515625" style="2" customWidth="1"/>
    <col min="9234" max="9234" width="15.140625" style="2" customWidth="1"/>
    <col min="9235" max="9235" width="15.42578125" style="2" customWidth="1"/>
    <col min="9236" max="9236" width="13.28515625" style="2" customWidth="1"/>
    <col min="9237" max="9238" width="9.140625" style="2" customWidth="1"/>
    <col min="9239" max="9239" width="26.140625" style="2" customWidth="1"/>
    <col min="9240" max="9240" width="23.28515625" style="2" customWidth="1"/>
    <col min="9241" max="9475" width="9.140625" style="2"/>
    <col min="9476" max="9476" width="26.5703125" style="2" bestFit="1" customWidth="1"/>
    <col min="9477" max="9477" width="13.7109375" style="2" bestFit="1" customWidth="1"/>
    <col min="9478" max="9478" width="26.42578125" style="2" bestFit="1" customWidth="1"/>
    <col min="9479" max="9479" width="9.140625" style="2"/>
    <col min="9480" max="9480" width="14.28515625" style="2" customWidth="1"/>
    <col min="9481" max="9481" width="28.28515625" style="2" customWidth="1"/>
    <col min="9482" max="9483" width="15.140625" style="2" customWidth="1"/>
    <col min="9484" max="9484" width="16.5703125" style="2" customWidth="1"/>
    <col min="9485" max="9485" width="16.7109375" style="2" customWidth="1"/>
    <col min="9486" max="9489" width="14.28515625" style="2" customWidth="1"/>
    <col min="9490" max="9490" width="15.140625" style="2" customWidth="1"/>
    <col min="9491" max="9491" width="15.42578125" style="2" customWidth="1"/>
    <col min="9492" max="9492" width="13.28515625" style="2" customWidth="1"/>
    <col min="9493" max="9494" width="9.140625" style="2" customWidth="1"/>
    <col min="9495" max="9495" width="26.140625" style="2" customWidth="1"/>
    <col min="9496" max="9496" width="23.28515625" style="2" customWidth="1"/>
    <col min="9497" max="9731" width="9.140625" style="2"/>
    <col min="9732" max="9732" width="26.5703125" style="2" bestFit="1" customWidth="1"/>
    <col min="9733" max="9733" width="13.7109375" style="2" bestFit="1" customWidth="1"/>
    <col min="9734" max="9734" width="26.42578125" style="2" bestFit="1" customWidth="1"/>
    <col min="9735" max="9735" width="9.140625" style="2"/>
    <col min="9736" max="9736" width="14.28515625" style="2" customWidth="1"/>
    <col min="9737" max="9737" width="28.28515625" style="2" customWidth="1"/>
    <col min="9738" max="9739" width="15.140625" style="2" customWidth="1"/>
    <col min="9740" max="9740" width="16.5703125" style="2" customWidth="1"/>
    <col min="9741" max="9741" width="16.7109375" style="2" customWidth="1"/>
    <col min="9742" max="9745" width="14.28515625" style="2" customWidth="1"/>
    <col min="9746" max="9746" width="15.140625" style="2" customWidth="1"/>
    <col min="9747" max="9747" width="15.42578125" style="2" customWidth="1"/>
    <col min="9748" max="9748" width="13.28515625" style="2" customWidth="1"/>
    <col min="9749" max="9750" width="9.140625" style="2" customWidth="1"/>
    <col min="9751" max="9751" width="26.140625" style="2" customWidth="1"/>
    <col min="9752" max="9752" width="23.28515625" style="2" customWidth="1"/>
    <col min="9753" max="9987" width="9.140625" style="2"/>
    <col min="9988" max="9988" width="26.5703125" style="2" bestFit="1" customWidth="1"/>
    <col min="9989" max="9989" width="13.7109375" style="2" bestFit="1" customWidth="1"/>
    <col min="9990" max="9990" width="26.42578125" style="2" bestFit="1" customWidth="1"/>
    <col min="9991" max="9991" width="9.140625" style="2"/>
    <col min="9992" max="9992" width="14.28515625" style="2" customWidth="1"/>
    <col min="9993" max="9993" width="28.28515625" style="2" customWidth="1"/>
    <col min="9994" max="9995" width="15.140625" style="2" customWidth="1"/>
    <col min="9996" max="9996" width="16.5703125" style="2" customWidth="1"/>
    <col min="9997" max="9997" width="16.7109375" style="2" customWidth="1"/>
    <col min="9998" max="10001" width="14.28515625" style="2" customWidth="1"/>
    <col min="10002" max="10002" width="15.140625" style="2" customWidth="1"/>
    <col min="10003" max="10003" width="15.42578125" style="2" customWidth="1"/>
    <col min="10004" max="10004" width="13.28515625" style="2" customWidth="1"/>
    <col min="10005" max="10006" width="9.140625" style="2" customWidth="1"/>
    <col min="10007" max="10007" width="26.140625" style="2" customWidth="1"/>
    <col min="10008" max="10008" width="23.28515625" style="2" customWidth="1"/>
    <col min="10009" max="10243" width="9.140625" style="2"/>
    <col min="10244" max="10244" width="26.5703125" style="2" bestFit="1" customWidth="1"/>
    <col min="10245" max="10245" width="13.7109375" style="2" bestFit="1" customWidth="1"/>
    <col min="10246" max="10246" width="26.42578125" style="2" bestFit="1" customWidth="1"/>
    <col min="10247" max="10247" width="9.140625" style="2"/>
    <col min="10248" max="10248" width="14.28515625" style="2" customWidth="1"/>
    <col min="10249" max="10249" width="28.28515625" style="2" customWidth="1"/>
    <col min="10250" max="10251" width="15.140625" style="2" customWidth="1"/>
    <col min="10252" max="10252" width="16.5703125" style="2" customWidth="1"/>
    <col min="10253" max="10253" width="16.7109375" style="2" customWidth="1"/>
    <col min="10254" max="10257" width="14.28515625" style="2" customWidth="1"/>
    <col min="10258" max="10258" width="15.140625" style="2" customWidth="1"/>
    <col min="10259" max="10259" width="15.42578125" style="2" customWidth="1"/>
    <col min="10260" max="10260" width="13.28515625" style="2" customWidth="1"/>
    <col min="10261" max="10262" width="9.140625" style="2" customWidth="1"/>
    <col min="10263" max="10263" width="26.140625" style="2" customWidth="1"/>
    <col min="10264" max="10264" width="23.28515625" style="2" customWidth="1"/>
    <col min="10265" max="10499" width="9.140625" style="2"/>
    <col min="10500" max="10500" width="26.5703125" style="2" bestFit="1" customWidth="1"/>
    <col min="10501" max="10501" width="13.7109375" style="2" bestFit="1" customWidth="1"/>
    <col min="10502" max="10502" width="26.42578125" style="2" bestFit="1" customWidth="1"/>
    <col min="10503" max="10503" width="9.140625" style="2"/>
    <col min="10504" max="10504" width="14.28515625" style="2" customWidth="1"/>
    <col min="10505" max="10505" width="28.28515625" style="2" customWidth="1"/>
    <col min="10506" max="10507" width="15.140625" style="2" customWidth="1"/>
    <col min="10508" max="10508" width="16.5703125" style="2" customWidth="1"/>
    <col min="10509" max="10509" width="16.7109375" style="2" customWidth="1"/>
    <col min="10510" max="10513" width="14.28515625" style="2" customWidth="1"/>
    <col min="10514" max="10514" width="15.140625" style="2" customWidth="1"/>
    <col min="10515" max="10515" width="15.42578125" style="2" customWidth="1"/>
    <col min="10516" max="10516" width="13.28515625" style="2" customWidth="1"/>
    <col min="10517" max="10518" width="9.140625" style="2" customWidth="1"/>
    <col min="10519" max="10519" width="26.140625" style="2" customWidth="1"/>
    <col min="10520" max="10520" width="23.28515625" style="2" customWidth="1"/>
    <col min="10521" max="10755" width="9.140625" style="2"/>
    <col min="10756" max="10756" width="26.5703125" style="2" bestFit="1" customWidth="1"/>
    <col min="10757" max="10757" width="13.7109375" style="2" bestFit="1" customWidth="1"/>
    <col min="10758" max="10758" width="26.42578125" style="2" bestFit="1" customWidth="1"/>
    <col min="10759" max="10759" width="9.140625" style="2"/>
    <col min="10760" max="10760" width="14.28515625" style="2" customWidth="1"/>
    <col min="10761" max="10761" width="28.28515625" style="2" customWidth="1"/>
    <col min="10762" max="10763" width="15.140625" style="2" customWidth="1"/>
    <col min="10764" max="10764" width="16.5703125" style="2" customWidth="1"/>
    <col min="10765" max="10765" width="16.7109375" style="2" customWidth="1"/>
    <col min="10766" max="10769" width="14.28515625" style="2" customWidth="1"/>
    <col min="10770" max="10770" width="15.140625" style="2" customWidth="1"/>
    <col min="10771" max="10771" width="15.42578125" style="2" customWidth="1"/>
    <col min="10772" max="10772" width="13.28515625" style="2" customWidth="1"/>
    <col min="10773" max="10774" width="9.140625" style="2" customWidth="1"/>
    <col min="10775" max="10775" width="26.140625" style="2" customWidth="1"/>
    <col min="10776" max="10776" width="23.28515625" style="2" customWidth="1"/>
    <col min="10777" max="11011" width="9.140625" style="2"/>
    <col min="11012" max="11012" width="26.5703125" style="2" bestFit="1" customWidth="1"/>
    <col min="11013" max="11013" width="13.7109375" style="2" bestFit="1" customWidth="1"/>
    <col min="11014" max="11014" width="26.42578125" style="2" bestFit="1" customWidth="1"/>
    <col min="11015" max="11015" width="9.140625" style="2"/>
    <col min="11016" max="11016" width="14.28515625" style="2" customWidth="1"/>
    <col min="11017" max="11017" width="28.28515625" style="2" customWidth="1"/>
    <col min="11018" max="11019" width="15.140625" style="2" customWidth="1"/>
    <col min="11020" max="11020" width="16.5703125" style="2" customWidth="1"/>
    <col min="11021" max="11021" width="16.7109375" style="2" customWidth="1"/>
    <col min="11022" max="11025" width="14.28515625" style="2" customWidth="1"/>
    <col min="11026" max="11026" width="15.140625" style="2" customWidth="1"/>
    <col min="11027" max="11027" width="15.42578125" style="2" customWidth="1"/>
    <col min="11028" max="11028" width="13.28515625" style="2" customWidth="1"/>
    <col min="11029" max="11030" width="9.140625" style="2" customWidth="1"/>
    <col min="11031" max="11031" width="26.140625" style="2" customWidth="1"/>
    <col min="11032" max="11032" width="23.28515625" style="2" customWidth="1"/>
    <col min="11033" max="11267" width="9.140625" style="2"/>
    <col min="11268" max="11268" width="26.5703125" style="2" bestFit="1" customWidth="1"/>
    <col min="11269" max="11269" width="13.7109375" style="2" bestFit="1" customWidth="1"/>
    <col min="11270" max="11270" width="26.42578125" style="2" bestFit="1" customWidth="1"/>
    <col min="11271" max="11271" width="9.140625" style="2"/>
    <col min="11272" max="11272" width="14.28515625" style="2" customWidth="1"/>
    <col min="11273" max="11273" width="28.28515625" style="2" customWidth="1"/>
    <col min="11274" max="11275" width="15.140625" style="2" customWidth="1"/>
    <col min="11276" max="11276" width="16.5703125" style="2" customWidth="1"/>
    <col min="11277" max="11277" width="16.7109375" style="2" customWidth="1"/>
    <col min="11278" max="11281" width="14.28515625" style="2" customWidth="1"/>
    <col min="11282" max="11282" width="15.140625" style="2" customWidth="1"/>
    <col min="11283" max="11283" width="15.42578125" style="2" customWidth="1"/>
    <col min="11284" max="11284" width="13.28515625" style="2" customWidth="1"/>
    <col min="11285" max="11286" width="9.140625" style="2" customWidth="1"/>
    <col min="11287" max="11287" width="26.140625" style="2" customWidth="1"/>
    <col min="11288" max="11288" width="23.28515625" style="2" customWidth="1"/>
    <col min="11289" max="11523" width="9.140625" style="2"/>
    <col min="11524" max="11524" width="26.5703125" style="2" bestFit="1" customWidth="1"/>
    <col min="11525" max="11525" width="13.7109375" style="2" bestFit="1" customWidth="1"/>
    <col min="11526" max="11526" width="26.42578125" style="2" bestFit="1" customWidth="1"/>
    <col min="11527" max="11527" width="9.140625" style="2"/>
    <col min="11528" max="11528" width="14.28515625" style="2" customWidth="1"/>
    <col min="11529" max="11529" width="28.28515625" style="2" customWidth="1"/>
    <col min="11530" max="11531" width="15.140625" style="2" customWidth="1"/>
    <col min="11532" max="11532" width="16.5703125" style="2" customWidth="1"/>
    <col min="11533" max="11533" width="16.7109375" style="2" customWidth="1"/>
    <col min="11534" max="11537" width="14.28515625" style="2" customWidth="1"/>
    <col min="11538" max="11538" width="15.140625" style="2" customWidth="1"/>
    <col min="11539" max="11539" width="15.42578125" style="2" customWidth="1"/>
    <col min="11540" max="11540" width="13.28515625" style="2" customWidth="1"/>
    <col min="11541" max="11542" width="9.140625" style="2" customWidth="1"/>
    <col min="11543" max="11543" width="26.140625" style="2" customWidth="1"/>
    <col min="11544" max="11544" width="23.28515625" style="2" customWidth="1"/>
    <col min="11545" max="11779" width="9.140625" style="2"/>
    <col min="11780" max="11780" width="26.5703125" style="2" bestFit="1" customWidth="1"/>
    <col min="11781" max="11781" width="13.7109375" style="2" bestFit="1" customWidth="1"/>
    <col min="11782" max="11782" width="26.42578125" style="2" bestFit="1" customWidth="1"/>
    <col min="11783" max="11783" width="9.140625" style="2"/>
    <col min="11784" max="11784" width="14.28515625" style="2" customWidth="1"/>
    <col min="11785" max="11785" width="28.28515625" style="2" customWidth="1"/>
    <col min="11786" max="11787" width="15.140625" style="2" customWidth="1"/>
    <col min="11788" max="11788" width="16.5703125" style="2" customWidth="1"/>
    <col min="11789" max="11789" width="16.7109375" style="2" customWidth="1"/>
    <col min="11790" max="11793" width="14.28515625" style="2" customWidth="1"/>
    <col min="11794" max="11794" width="15.140625" style="2" customWidth="1"/>
    <col min="11795" max="11795" width="15.42578125" style="2" customWidth="1"/>
    <col min="11796" max="11796" width="13.28515625" style="2" customWidth="1"/>
    <col min="11797" max="11798" width="9.140625" style="2" customWidth="1"/>
    <col min="11799" max="11799" width="26.140625" style="2" customWidth="1"/>
    <col min="11800" max="11800" width="23.28515625" style="2" customWidth="1"/>
    <col min="11801" max="12035" width="9.140625" style="2"/>
    <col min="12036" max="12036" width="26.5703125" style="2" bestFit="1" customWidth="1"/>
    <col min="12037" max="12037" width="13.7109375" style="2" bestFit="1" customWidth="1"/>
    <col min="12038" max="12038" width="26.42578125" style="2" bestFit="1" customWidth="1"/>
    <col min="12039" max="12039" width="9.140625" style="2"/>
    <col min="12040" max="12040" width="14.28515625" style="2" customWidth="1"/>
    <col min="12041" max="12041" width="28.28515625" style="2" customWidth="1"/>
    <col min="12042" max="12043" width="15.140625" style="2" customWidth="1"/>
    <col min="12044" max="12044" width="16.5703125" style="2" customWidth="1"/>
    <col min="12045" max="12045" width="16.7109375" style="2" customWidth="1"/>
    <col min="12046" max="12049" width="14.28515625" style="2" customWidth="1"/>
    <col min="12050" max="12050" width="15.140625" style="2" customWidth="1"/>
    <col min="12051" max="12051" width="15.42578125" style="2" customWidth="1"/>
    <col min="12052" max="12052" width="13.28515625" style="2" customWidth="1"/>
    <col min="12053" max="12054" width="9.140625" style="2" customWidth="1"/>
    <col min="12055" max="12055" width="26.140625" style="2" customWidth="1"/>
    <col min="12056" max="12056" width="23.28515625" style="2" customWidth="1"/>
    <col min="12057" max="12291" width="9.140625" style="2"/>
    <col min="12292" max="12292" width="26.5703125" style="2" bestFit="1" customWidth="1"/>
    <col min="12293" max="12293" width="13.7109375" style="2" bestFit="1" customWidth="1"/>
    <col min="12294" max="12294" width="26.42578125" style="2" bestFit="1" customWidth="1"/>
    <col min="12295" max="12295" width="9.140625" style="2"/>
    <col min="12296" max="12296" width="14.28515625" style="2" customWidth="1"/>
    <col min="12297" max="12297" width="28.28515625" style="2" customWidth="1"/>
    <col min="12298" max="12299" width="15.140625" style="2" customWidth="1"/>
    <col min="12300" max="12300" width="16.5703125" style="2" customWidth="1"/>
    <col min="12301" max="12301" width="16.7109375" style="2" customWidth="1"/>
    <col min="12302" max="12305" width="14.28515625" style="2" customWidth="1"/>
    <col min="12306" max="12306" width="15.140625" style="2" customWidth="1"/>
    <col min="12307" max="12307" width="15.42578125" style="2" customWidth="1"/>
    <col min="12308" max="12308" width="13.28515625" style="2" customWidth="1"/>
    <col min="12309" max="12310" width="9.140625" style="2" customWidth="1"/>
    <col min="12311" max="12311" width="26.140625" style="2" customWidth="1"/>
    <col min="12312" max="12312" width="23.28515625" style="2" customWidth="1"/>
    <col min="12313" max="12547" width="9.140625" style="2"/>
    <col min="12548" max="12548" width="26.5703125" style="2" bestFit="1" customWidth="1"/>
    <col min="12549" max="12549" width="13.7109375" style="2" bestFit="1" customWidth="1"/>
    <col min="12550" max="12550" width="26.42578125" style="2" bestFit="1" customWidth="1"/>
    <col min="12551" max="12551" width="9.140625" style="2"/>
    <col min="12552" max="12552" width="14.28515625" style="2" customWidth="1"/>
    <col min="12553" max="12553" width="28.28515625" style="2" customWidth="1"/>
    <col min="12554" max="12555" width="15.140625" style="2" customWidth="1"/>
    <col min="12556" max="12556" width="16.5703125" style="2" customWidth="1"/>
    <col min="12557" max="12557" width="16.7109375" style="2" customWidth="1"/>
    <col min="12558" max="12561" width="14.28515625" style="2" customWidth="1"/>
    <col min="12562" max="12562" width="15.140625" style="2" customWidth="1"/>
    <col min="12563" max="12563" width="15.42578125" style="2" customWidth="1"/>
    <col min="12564" max="12564" width="13.28515625" style="2" customWidth="1"/>
    <col min="12565" max="12566" width="9.140625" style="2" customWidth="1"/>
    <col min="12567" max="12567" width="26.140625" style="2" customWidth="1"/>
    <col min="12568" max="12568" width="23.28515625" style="2" customWidth="1"/>
    <col min="12569" max="12803" width="9.140625" style="2"/>
    <col min="12804" max="12804" width="26.5703125" style="2" bestFit="1" customWidth="1"/>
    <col min="12805" max="12805" width="13.7109375" style="2" bestFit="1" customWidth="1"/>
    <col min="12806" max="12806" width="26.42578125" style="2" bestFit="1" customWidth="1"/>
    <col min="12807" max="12807" width="9.140625" style="2"/>
    <col min="12808" max="12808" width="14.28515625" style="2" customWidth="1"/>
    <col min="12809" max="12809" width="28.28515625" style="2" customWidth="1"/>
    <col min="12810" max="12811" width="15.140625" style="2" customWidth="1"/>
    <col min="12812" max="12812" width="16.5703125" style="2" customWidth="1"/>
    <col min="12813" max="12813" width="16.7109375" style="2" customWidth="1"/>
    <col min="12814" max="12817" width="14.28515625" style="2" customWidth="1"/>
    <col min="12818" max="12818" width="15.140625" style="2" customWidth="1"/>
    <col min="12819" max="12819" width="15.42578125" style="2" customWidth="1"/>
    <col min="12820" max="12820" width="13.28515625" style="2" customWidth="1"/>
    <col min="12821" max="12822" width="9.140625" style="2" customWidth="1"/>
    <col min="12823" max="12823" width="26.140625" style="2" customWidth="1"/>
    <col min="12824" max="12824" width="23.28515625" style="2" customWidth="1"/>
    <col min="12825" max="13059" width="9.140625" style="2"/>
    <col min="13060" max="13060" width="26.5703125" style="2" bestFit="1" customWidth="1"/>
    <col min="13061" max="13061" width="13.7109375" style="2" bestFit="1" customWidth="1"/>
    <col min="13062" max="13062" width="26.42578125" style="2" bestFit="1" customWidth="1"/>
    <col min="13063" max="13063" width="9.140625" style="2"/>
    <col min="13064" max="13064" width="14.28515625" style="2" customWidth="1"/>
    <col min="13065" max="13065" width="28.28515625" style="2" customWidth="1"/>
    <col min="13066" max="13067" width="15.140625" style="2" customWidth="1"/>
    <col min="13068" max="13068" width="16.5703125" style="2" customWidth="1"/>
    <col min="13069" max="13069" width="16.7109375" style="2" customWidth="1"/>
    <col min="13070" max="13073" width="14.28515625" style="2" customWidth="1"/>
    <col min="13074" max="13074" width="15.140625" style="2" customWidth="1"/>
    <col min="13075" max="13075" width="15.42578125" style="2" customWidth="1"/>
    <col min="13076" max="13076" width="13.28515625" style="2" customWidth="1"/>
    <col min="13077" max="13078" width="9.140625" style="2" customWidth="1"/>
    <col min="13079" max="13079" width="26.140625" style="2" customWidth="1"/>
    <col min="13080" max="13080" width="23.28515625" style="2" customWidth="1"/>
    <col min="13081" max="13315" width="9.140625" style="2"/>
    <col min="13316" max="13316" width="26.5703125" style="2" bestFit="1" customWidth="1"/>
    <col min="13317" max="13317" width="13.7109375" style="2" bestFit="1" customWidth="1"/>
    <col min="13318" max="13318" width="26.42578125" style="2" bestFit="1" customWidth="1"/>
    <col min="13319" max="13319" width="9.140625" style="2"/>
    <col min="13320" max="13320" width="14.28515625" style="2" customWidth="1"/>
    <col min="13321" max="13321" width="28.28515625" style="2" customWidth="1"/>
    <col min="13322" max="13323" width="15.140625" style="2" customWidth="1"/>
    <col min="13324" max="13324" width="16.5703125" style="2" customWidth="1"/>
    <col min="13325" max="13325" width="16.7109375" style="2" customWidth="1"/>
    <col min="13326" max="13329" width="14.28515625" style="2" customWidth="1"/>
    <col min="13330" max="13330" width="15.140625" style="2" customWidth="1"/>
    <col min="13331" max="13331" width="15.42578125" style="2" customWidth="1"/>
    <col min="13332" max="13332" width="13.28515625" style="2" customWidth="1"/>
    <col min="13333" max="13334" width="9.140625" style="2" customWidth="1"/>
    <col min="13335" max="13335" width="26.140625" style="2" customWidth="1"/>
    <col min="13336" max="13336" width="23.28515625" style="2" customWidth="1"/>
    <col min="13337" max="13571" width="9.140625" style="2"/>
    <col min="13572" max="13572" width="26.5703125" style="2" bestFit="1" customWidth="1"/>
    <col min="13573" max="13573" width="13.7109375" style="2" bestFit="1" customWidth="1"/>
    <col min="13574" max="13574" width="26.42578125" style="2" bestFit="1" customWidth="1"/>
    <col min="13575" max="13575" width="9.140625" style="2"/>
    <col min="13576" max="13576" width="14.28515625" style="2" customWidth="1"/>
    <col min="13577" max="13577" width="28.28515625" style="2" customWidth="1"/>
    <col min="13578" max="13579" width="15.140625" style="2" customWidth="1"/>
    <col min="13580" max="13580" width="16.5703125" style="2" customWidth="1"/>
    <col min="13581" max="13581" width="16.7109375" style="2" customWidth="1"/>
    <col min="13582" max="13585" width="14.28515625" style="2" customWidth="1"/>
    <col min="13586" max="13586" width="15.140625" style="2" customWidth="1"/>
    <col min="13587" max="13587" width="15.42578125" style="2" customWidth="1"/>
    <col min="13588" max="13588" width="13.28515625" style="2" customWidth="1"/>
    <col min="13589" max="13590" width="9.140625" style="2" customWidth="1"/>
    <col min="13591" max="13591" width="26.140625" style="2" customWidth="1"/>
    <col min="13592" max="13592" width="23.28515625" style="2" customWidth="1"/>
    <col min="13593" max="13827" width="9.140625" style="2"/>
    <col min="13828" max="13828" width="26.5703125" style="2" bestFit="1" customWidth="1"/>
    <col min="13829" max="13829" width="13.7109375" style="2" bestFit="1" customWidth="1"/>
    <col min="13830" max="13830" width="26.42578125" style="2" bestFit="1" customWidth="1"/>
    <col min="13831" max="13831" width="9.140625" style="2"/>
    <col min="13832" max="13832" width="14.28515625" style="2" customWidth="1"/>
    <col min="13833" max="13833" width="28.28515625" style="2" customWidth="1"/>
    <col min="13834" max="13835" width="15.140625" style="2" customWidth="1"/>
    <col min="13836" max="13836" width="16.5703125" style="2" customWidth="1"/>
    <col min="13837" max="13837" width="16.7109375" style="2" customWidth="1"/>
    <col min="13838" max="13841" width="14.28515625" style="2" customWidth="1"/>
    <col min="13842" max="13842" width="15.140625" style="2" customWidth="1"/>
    <col min="13843" max="13843" width="15.42578125" style="2" customWidth="1"/>
    <col min="13844" max="13844" width="13.28515625" style="2" customWidth="1"/>
    <col min="13845" max="13846" width="9.140625" style="2" customWidth="1"/>
    <col min="13847" max="13847" width="26.140625" style="2" customWidth="1"/>
    <col min="13848" max="13848" width="23.28515625" style="2" customWidth="1"/>
    <col min="13849" max="14083" width="9.140625" style="2"/>
    <col min="14084" max="14084" width="26.5703125" style="2" bestFit="1" customWidth="1"/>
    <col min="14085" max="14085" width="13.7109375" style="2" bestFit="1" customWidth="1"/>
    <col min="14086" max="14086" width="26.42578125" style="2" bestFit="1" customWidth="1"/>
    <col min="14087" max="14087" width="9.140625" style="2"/>
    <col min="14088" max="14088" width="14.28515625" style="2" customWidth="1"/>
    <col min="14089" max="14089" width="28.28515625" style="2" customWidth="1"/>
    <col min="14090" max="14091" width="15.140625" style="2" customWidth="1"/>
    <col min="14092" max="14092" width="16.5703125" style="2" customWidth="1"/>
    <col min="14093" max="14093" width="16.7109375" style="2" customWidth="1"/>
    <col min="14094" max="14097" width="14.28515625" style="2" customWidth="1"/>
    <col min="14098" max="14098" width="15.140625" style="2" customWidth="1"/>
    <col min="14099" max="14099" width="15.42578125" style="2" customWidth="1"/>
    <col min="14100" max="14100" width="13.28515625" style="2" customWidth="1"/>
    <col min="14101" max="14102" width="9.140625" style="2" customWidth="1"/>
    <col min="14103" max="14103" width="26.140625" style="2" customWidth="1"/>
    <col min="14104" max="14104" width="23.28515625" style="2" customWidth="1"/>
    <col min="14105" max="14339" width="9.140625" style="2"/>
    <col min="14340" max="14340" width="26.5703125" style="2" bestFit="1" customWidth="1"/>
    <col min="14341" max="14341" width="13.7109375" style="2" bestFit="1" customWidth="1"/>
    <col min="14342" max="14342" width="26.42578125" style="2" bestFit="1" customWidth="1"/>
    <col min="14343" max="14343" width="9.140625" style="2"/>
    <col min="14344" max="14344" width="14.28515625" style="2" customWidth="1"/>
    <col min="14345" max="14345" width="28.28515625" style="2" customWidth="1"/>
    <col min="14346" max="14347" width="15.140625" style="2" customWidth="1"/>
    <col min="14348" max="14348" width="16.5703125" style="2" customWidth="1"/>
    <col min="14349" max="14349" width="16.7109375" style="2" customWidth="1"/>
    <col min="14350" max="14353" width="14.28515625" style="2" customWidth="1"/>
    <col min="14354" max="14354" width="15.140625" style="2" customWidth="1"/>
    <col min="14355" max="14355" width="15.42578125" style="2" customWidth="1"/>
    <col min="14356" max="14356" width="13.28515625" style="2" customWidth="1"/>
    <col min="14357" max="14358" width="9.140625" style="2" customWidth="1"/>
    <col min="14359" max="14359" width="26.140625" style="2" customWidth="1"/>
    <col min="14360" max="14360" width="23.28515625" style="2" customWidth="1"/>
    <col min="14361" max="14595" width="9.140625" style="2"/>
    <col min="14596" max="14596" width="26.5703125" style="2" bestFit="1" customWidth="1"/>
    <col min="14597" max="14597" width="13.7109375" style="2" bestFit="1" customWidth="1"/>
    <col min="14598" max="14598" width="26.42578125" style="2" bestFit="1" customWidth="1"/>
    <col min="14599" max="14599" width="9.140625" style="2"/>
    <col min="14600" max="14600" width="14.28515625" style="2" customWidth="1"/>
    <col min="14601" max="14601" width="28.28515625" style="2" customWidth="1"/>
    <col min="14602" max="14603" width="15.140625" style="2" customWidth="1"/>
    <col min="14604" max="14604" width="16.5703125" style="2" customWidth="1"/>
    <col min="14605" max="14605" width="16.7109375" style="2" customWidth="1"/>
    <col min="14606" max="14609" width="14.28515625" style="2" customWidth="1"/>
    <col min="14610" max="14610" width="15.140625" style="2" customWidth="1"/>
    <col min="14611" max="14611" width="15.42578125" style="2" customWidth="1"/>
    <col min="14612" max="14612" width="13.28515625" style="2" customWidth="1"/>
    <col min="14613" max="14614" width="9.140625" style="2" customWidth="1"/>
    <col min="14615" max="14615" width="26.140625" style="2" customWidth="1"/>
    <col min="14616" max="14616" width="23.28515625" style="2" customWidth="1"/>
    <col min="14617" max="14851" width="9.140625" style="2"/>
    <col min="14852" max="14852" width="26.5703125" style="2" bestFit="1" customWidth="1"/>
    <col min="14853" max="14853" width="13.7109375" style="2" bestFit="1" customWidth="1"/>
    <col min="14854" max="14854" width="26.42578125" style="2" bestFit="1" customWidth="1"/>
    <col min="14855" max="14855" width="9.140625" style="2"/>
    <col min="14856" max="14856" width="14.28515625" style="2" customWidth="1"/>
    <col min="14857" max="14857" width="28.28515625" style="2" customWidth="1"/>
    <col min="14858" max="14859" width="15.140625" style="2" customWidth="1"/>
    <col min="14860" max="14860" width="16.5703125" style="2" customWidth="1"/>
    <col min="14861" max="14861" width="16.7109375" style="2" customWidth="1"/>
    <col min="14862" max="14865" width="14.28515625" style="2" customWidth="1"/>
    <col min="14866" max="14866" width="15.140625" style="2" customWidth="1"/>
    <col min="14867" max="14867" width="15.42578125" style="2" customWidth="1"/>
    <col min="14868" max="14868" width="13.28515625" style="2" customWidth="1"/>
    <col min="14869" max="14870" width="9.140625" style="2" customWidth="1"/>
    <col min="14871" max="14871" width="26.140625" style="2" customWidth="1"/>
    <col min="14872" max="14872" width="23.28515625" style="2" customWidth="1"/>
    <col min="14873" max="15107" width="9.140625" style="2"/>
    <col min="15108" max="15108" width="26.5703125" style="2" bestFit="1" customWidth="1"/>
    <col min="15109" max="15109" width="13.7109375" style="2" bestFit="1" customWidth="1"/>
    <col min="15110" max="15110" width="26.42578125" style="2" bestFit="1" customWidth="1"/>
    <col min="15111" max="15111" width="9.140625" style="2"/>
    <col min="15112" max="15112" width="14.28515625" style="2" customWidth="1"/>
    <col min="15113" max="15113" width="28.28515625" style="2" customWidth="1"/>
    <col min="15114" max="15115" width="15.140625" style="2" customWidth="1"/>
    <col min="15116" max="15116" width="16.5703125" style="2" customWidth="1"/>
    <col min="15117" max="15117" width="16.7109375" style="2" customWidth="1"/>
    <col min="15118" max="15121" width="14.28515625" style="2" customWidth="1"/>
    <col min="15122" max="15122" width="15.140625" style="2" customWidth="1"/>
    <col min="15123" max="15123" width="15.42578125" style="2" customWidth="1"/>
    <col min="15124" max="15124" width="13.28515625" style="2" customWidth="1"/>
    <col min="15125" max="15126" width="9.140625" style="2" customWidth="1"/>
    <col min="15127" max="15127" width="26.140625" style="2" customWidth="1"/>
    <col min="15128" max="15128" width="23.28515625" style="2" customWidth="1"/>
    <col min="15129" max="15363" width="9.140625" style="2"/>
    <col min="15364" max="15364" width="26.5703125" style="2" bestFit="1" customWidth="1"/>
    <col min="15365" max="15365" width="13.7109375" style="2" bestFit="1" customWidth="1"/>
    <col min="15366" max="15366" width="26.42578125" style="2" bestFit="1" customWidth="1"/>
    <col min="15367" max="15367" width="9.140625" style="2"/>
    <col min="15368" max="15368" width="14.28515625" style="2" customWidth="1"/>
    <col min="15369" max="15369" width="28.28515625" style="2" customWidth="1"/>
    <col min="15370" max="15371" width="15.140625" style="2" customWidth="1"/>
    <col min="15372" max="15372" width="16.5703125" style="2" customWidth="1"/>
    <col min="15373" max="15373" width="16.7109375" style="2" customWidth="1"/>
    <col min="15374" max="15377" width="14.28515625" style="2" customWidth="1"/>
    <col min="15378" max="15378" width="15.140625" style="2" customWidth="1"/>
    <col min="15379" max="15379" width="15.42578125" style="2" customWidth="1"/>
    <col min="15380" max="15380" width="13.28515625" style="2" customWidth="1"/>
    <col min="15381" max="15382" width="9.140625" style="2" customWidth="1"/>
    <col min="15383" max="15383" width="26.140625" style="2" customWidth="1"/>
    <col min="15384" max="15384" width="23.28515625" style="2" customWidth="1"/>
    <col min="15385" max="15619" width="9.140625" style="2"/>
    <col min="15620" max="15620" width="26.5703125" style="2" bestFit="1" customWidth="1"/>
    <col min="15621" max="15621" width="13.7109375" style="2" bestFit="1" customWidth="1"/>
    <col min="15622" max="15622" width="26.42578125" style="2" bestFit="1" customWidth="1"/>
    <col min="15623" max="15623" width="9.140625" style="2"/>
    <col min="15624" max="15624" width="14.28515625" style="2" customWidth="1"/>
    <col min="15625" max="15625" width="28.28515625" style="2" customWidth="1"/>
    <col min="15626" max="15627" width="15.140625" style="2" customWidth="1"/>
    <col min="15628" max="15628" width="16.5703125" style="2" customWidth="1"/>
    <col min="15629" max="15629" width="16.7109375" style="2" customWidth="1"/>
    <col min="15630" max="15633" width="14.28515625" style="2" customWidth="1"/>
    <col min="15634" max="15634" width="15.140625" style="2" customWidth="1"/>
    <col min="15635" max="15635" width="15.42578125" style="2" customWidth="1"/>
    <col min="15636" max="15636" width="13.28515625" style="2" customWidth="1"/>
    <col min="15637" max="15638" width="9.140625" style="2" customWidth="1"/>
    <col min="15639" max="15639" width="26.140625" style="2" customWidth="1"/>
    <col min="15640" max="15640" width="23.28515625" style="2" customWidth="1"/>
    <col min="15641" max="15875" width="9.140625" style="2"/>
    <col min="15876" max="15876" width="26.5703125" style="2" bestFit="1" customWidth="1"/>
    <col min="15877" max="15877" width="13.7109375" style="2" bestFit="1" customWidth="1"/>
    <col min="15878" max="15878" width="26.42578125" style="2" bestFit="1" customWidth="1"/>
    <col min="15879" max="15879" width="9.140625" style="2"/>
    <col min="15880" max="15880" width="14.28515625" style="2" customWidth="1"/>
    <col min="15881" max="15881" width="28.28515625" style="2" customWidth="1"/>
    <col min="15882" max="15883" width="15.140625" style="2" customWidth="1"/>
    <col min="15884" max="15884" width="16.5703125" style="2" customWidth="1"/>
    <col min="15885" max="15885" width="16.7109375" style="2" customWidth="1"/>
    <col min="15886" max="15889" width="14.28515625" style="2" customWidth="1"/>
    <col min="15890" max="15890" width="15.140625" style="2" customWidth="1"/>
    <col min="15891" max="15891" width="15.42578125" style="2" customWidth="1"/>
    <col min="15892" max="15892" width="13.28515625" style="2" customWidth="1"/>
    <col min="15893" max="15894" width="9.140625" style="2" customWidth="1"/>
    <col min="15895" max="15895" width="26.140625" style="2" customWidth="1"/>
    <col min="15896" max="15896" width="23.28515625" style="2" customWidth="1"/>
    <col min="15897" max="16131" width="9.140625" style="2"/>
    <col min="16132" max="16132" width="26.5703125" style="2" bestFit="1" customWidth="1"/>
    <col min="16133" max="16133" width="13.7109375" style="2" bestFit="1" customWidth="1"/>
    <col min="16134" max="16134" width="26.42578125" style="2" bestFit="1" customWidth="1"/>
    <col min="16135" max="16135" width="9.140625" style="2"/>
    <col min="16136" max="16136" width="14.28515625" style="2" customWidth="1"/>
    <col min="16137" max="16137" width="28.28515625" style="2" customWidth="1"/>
    <col min="16138" max="16139" width="15.140625" style="2" customWidth="1"/>
    <col min="16140" max="16140" width="16.5703125" style="2" customWidth="1"/>
    <col min="16141" max="16141" width="16.7109375" style="2" customWidth="1"/>
    <col min="16142" max="16145" width="14.28515625" style="2" customWidth="1"/>
    <col min="16146" max="16146" width="15.140625" style="2" customWidth="1"/>
    <col min="16147" max="16147" width="15.42578125" style="2" customWidth="1"/>
    <col min="16148" max="16148" width="13.28515625" style="2" customWidth="1"/>
    <col min="16149" max="16150" width="9.140625" style="2" customWidth="1"/>
    <col min="16151" max="16151" width="26.140625" style="2" customWidth="1"/>
    <col min="16152" max="16152" width="23.28515625" style="2" customWidth="1"/>
    <col min="16153" max="16384" width="9.140625" style="2"/>
  </cols>
  <sheetData>
    <row r="2" spans="1:16">
      <c r="F2" s="15" t="s">
        <v>10</v>
      </c>
      <c r="K2" s="15" t="s">
        <v>267</v>
      </c>
      <c r="M2" s="15" t="s">
        <v>268</v>
      </c>
    </row>
    <row r="3" spans="1:16" ht="17.25" thickBot="1">
      <c r="B3" s="171" t="s">
        <v>13</v>
      </c>
      <c r="C3" s="171" t="s">
        <v>14</v>
      </c>
      <c r="D3" s="171" t="s">
        <v>15</v>
      </c>
      <c r="F3" s="171">
        <v>2021</v>
      </c>
      <c r="G3" s="171">
        <f>F3+1</f>
        <v>2022</v>
      </c>
      <c r="H3" s="171">
        <f>G3+1</f>
        <v>2023</v>
      </c>
      <c r="I3" s="171">
        <f>H3+1</f>
        <v>2024</v>
      </c>
      <c r="K3" s="171" t="s">
        <v>250</v>
      </c>
      <c r="M3" s="171">
        <v>2021</v>
      </c>
      <c r="N3" s="171">
        <f>M3+1</f>
        <v>2022</v>
      </c>
      <c r="O3" s="171">
        <f>N3+1</f>
        <v>2023</v>
      </c>
      <c r="P3" s="171">
        <f>O3+1</f>
        <v>2024</v>
      </c>
    </row>
    <row r="4" spans="1:16">
      <c r="A4" s="2" t="str">
        <f>B4&amp;C4</f>
        <v>PessoalProdução</v>
      </c>
      <c r="B4" s="172" t="s">
        <v>2</v>
      </c>
      <c r="C4" s="173" t="s">
        <v>16</v>
      </c>
      <c r="D4" s="174" t="s">
        <v>17</v>
      </c>
      <c r="F4" s="245">
        <f>+AuxOPEXDrivers!G$6</f>
        <v>760242105</v>
      </c>
      <c r="G4" s="208">
        <f>+AuxOPEXDrivers!H$6</f>
        <v>781270596</v>
      </c>
      <c r="H4" s="208">
        <f>+AuxOPEXDrivers!I$6</f>
        <v>807591530</v>
      </c>
      <c r="I4" s="208">
        <f>+AuxOPEXDrivers!J$6</f>
        <v>816880219</v>
      </c>
      <c r="K4" s="211">
        <f>AuxOPEXCustoUnit!AH5</f>
        <v>0.18605933289542093</v>
      </c>
      <c r="M4" s="208">
        <f>$K4*F4</f>
        <v>141450138.89531055</v>
      </c>
      <c r="N4" s="208">
        <f>$K4*G4</f>
        <v>145362685.90256792</v>
      </c>
      <c r="O4" s="208">
        <f>$K4*H4</f>
        <v>150259941.32379231</v>
      </c>
      <c r="P4" s="208">
        <f>$K4*I4</f>
        <v>151988188.60260534</v>
      </c>
    </row>
    <row r="5" spans="1:16">
      <c r="A5" s="2" t="str">
        <f t="shared" ref="A5:A39" si="0">B5&amp;C5</f>
        <v>Materiais GeraisProdução</v>
      </c>
      <c r="B5" s="175" t="s">
        <v>3</v>
      </c>
      <c r="C5" s="176" t="s">
        <v>16</v>
      </c>
      <c r="D5" s="177" t="s">
        <v>17</v>
      </c>
      <c r="F5" s="246">
        <f>+AuxOPEXDrivers!G$6</f>
        <v>760242105</v>
      </c>
      <c r="G5" s="209">
        <f>+AuxOPEXDrivers!H$6</f>
        <v>781270596</v>
      </c>
      <c r="H5" s="209">
        <f>+AuxOPEXDrivers!I$6</f>
        <v>807591530</v>
      </c>
      <c r="I5" s="209">
        <f>+AuxOPEXDrivers!J$6</f>
        <v>816880219</v>
      </c>
      <c r="K5" s="212">
        <f>AuxOPEXCustoUnit!AH6</f>
        <v>9.7062022617970048E-3</v>
      </c>
      <c r="M5" s="209">
        <f t="shared" ref="M5:P45" si="1">$K5*F5</f>
        <v>7379063.6390643157</v>
      </c>
      <c r="N5" s="209">
        <f t="shared" si="1"/>
        <v>7583170.4259706941</v>
      </c>
      <c r="O5" s="209">
        <f t="shared" si="1"/>
        <v>7838646.735094104</v>
      </c>
      <c r="P5" s="209">
        <f t="shared" si="1"/>
        <v>7928804.6292750323</v>
      </c>
    </row>
    <row r="6" spans="1:16">
      <c r="A6" s="2" t="str">
        <f t="shared" si="0"/>
        <v>Materiais de TratamentoProdução</v>
      </c>
      <c r="B6" s="175" t="s">
        <v>4</v>
      </c>
      <c r="C6" s="176" t="s">
        <v>16</v>
      </c>
      <c r="D6" s="177" t="s">
        <v>17</v>
      </c>
      <c r="F6" s="246">
        <f>+AuxOPEXDrivers!G$6</f>
        <v>760242105</v>
      </c>
      <c r="G6" s="209">
        <f>+AuxOPEXDrivers!H$6</f>
        <v>781270596</v>
      </c>
      <c r="H6" s="209">
        <f>+AuxOPEXDrivers!I$6</f>
        <v>807591530</v>
      </c>
      <c r="I6" s="209">
        <f>+AuxOPEXDrivers!J$6</f>
        <v>816880219</v>
      </c>
      <c r="K6" s="212">
        <f>AuxOPEXCustoUnit!AH7</f>
        <v>8.8212584163275584E-2</v>
      </c>
      <c r="M6" s="209">
        <f t="shared" si="1"/>
        <v>67062920.671778291</v>
      </c>
      <c r="N6" s="209">
        <f t="shared" si="1"/>
        <v>68917898.203942478</v>
      </c>
      <c r="O6" s="209">
        <f t="shared" si="1"/>
        <v>71239735.809673503</v>
      </c>
      <c r="P6" s="209">
        <f t="shared" si="1"/>
        <v>72059115.069852486</v>
      </c>
    </row>
    <row r="7" spans="1:16">
      <c r="A7" s="2" t="str">
        <f t="shared" si="0"/>
        <v>Serviços de TerceirosProdução</v>
      </c>
      <c r="B7" s="175" t="s">
        <v>5</v>
      </c>
      <c r="C7" s="176" t="s">
        <v>16</v>
      </c>
      <c r="D7" s="177" t="s">
        <v>17</v>
      </c>
      <c r="F7" s="246">
        <f>+AuxOPEXDrivers!G$6</f>
        <v>760242105</v>
      </c>
      <c r="G7" s="209">
        <f>+AuxOPEXDrivers!H$6</f>
        <v>781270596</v>
      </c>
      <c r="H7" s="209">
        <f>+AuxOPEXDrivers!I$6</f>
        <v>807591530</v>
      </c>
      <c r="I7" s="209">
        <f>+AuxOPEXDrivers!J$6</f>
        <v>816880219</v>
      </c>
      <c r="K7" s="212">
        <f>AuxOPEXCustoUnit!AH8</f>
        <v>6.6516335330247339E-2</v>
      </c>
      <c r="M7" s="209">
        <f t="shared" si="1"/>
        <v>50568518.788353108</v>
      </c>
      <c r="N7" s="209">
        <f t="shared" si="1"/>
        <v>51967256.947198197</v>
      </c>
      <c r="O7" s="209">
        <f t="shared" si="1"/>
        <v>53718029.019347504</v>
      </c>
      <c r="P7" s="209">
        <f t="shared" si="1"/>
        <v>54335878.571649887</v>
      </c>
    </row>
    <row r="8" spans="1:16" hidden="1">
      <c r="A8" s="2" t="str">
        <f t="shared" si="0"/>
        <v>EnergiaProdução</v>
      </c>
      <c r="B8" s="175" t="s">
        <v>18</v>
      </c>
      <c r="C8" s="176" t="s">
        <v>16</v>
      </c>
      <c r="D8" s="177" t="s">
        <v>17</v>
      </c>
      <c r="F8" s="246">
        <f>+AuxOPEXDrivers!G$6</f>
        <v>760242105</v>
      </c>
      <c r="G8" s="209">
        <f>+AuxOPEXDrivers!H$6</f>
        <v>781270596</v>
      </c>
      <c r="H8" s="209">
        <f>+AuxOPEXDrivers!I$6</f>
        <v>807591530</v>
      </c>
      <c r="I8" s="209">
        <f>+AuxOPEXDrivers!J$6</f>
        <v>816880219</v>
      </c>
      <c r="K8" s="212">
        <f>AuxOPEXCustoUnit!AH9</f>
        <v>0.37251332711273982</v>
      </c>
      <c r="M8" s="209">
        <f t="shared" si="1"/>
        <v>283200315.94474292</v>
      </c>
      <c r="N8" s="209">
        <f t="shared" si="1"/>
        <v>291033709.09131318</v>
      </c>
      <c r="O8" s="209">
        <f t="shared" si="1"/>
        <v>300838607.78836805</v>
      </c>
      <c r="P8" s="209">
        <f t="shared" si="1"/>
        <v>304298768.23227352</v>
      </c>
    </row>
    <row r="9" spans="1:16" ht="17.25" thickBot="1">
      <c r="A9" s="2" t="str">
        <f t="shared" si="0"/>
        <v>Despesas GeraisProdução</v>
      </c>
      <c r="B9" s="178" t="s">
        <v>6</v>
      </c>
      <c r="C9" s="179" t="s">
        <v>16</v>
      </c>
      <c r="D9" s="180" t="s">
        <v>17</v>
      </c>
      <c r="F9" s="247">
        <f>+AuxOPEXDrivers!G$6</f>
        <v>760242105</v>
      </c>
      <c r="G9" s="210">
        <f>+AuxOPEXDrivers!H$6</f>
        <v>781270596</v>
      </c>
      <c r="H9" s="210">
        <f>+AuxOPEXDrivers!I$6</f>
        <v>807591530</v>
      </c>
      <c r="I9" s="210">
        <f>+AuxOPEXDrivers!J$6</f>
        <v>816880219</v>
      </c>
      <c r="K9" s="213">
        <f>AuxOPEXCustoUnit!AH10</f>
        <v>-4.7080388439713003E-3</v>
      </c>
      <c r="M9" s="210">
        <f t="shared" si="1"/>
        <v>-3579249.3611625079</v>
      </c>
      <c r="N9" s="210">
        <f t="shared" si="1"/>
        <v>-3678252.3136206088</v>
      </c>
      <c r="O9" s="210">
        <f t="shared" si="1"/>
        <v>-3802172.2933022138</v>
      </c>
      <c r="P9" s="210">
        <f t="shared" si="1"/>
        <v>-3845903.8019237826</v>
      </c>
    </row>
    <row r="10" spans="1:16">
      <c r="A10" s="2" t="str">
        <f t="shared" si="0"/>
        <v>PessoalDistribuição</v>
      </c>
      <c r="B10" s="172" t="s">
        <v>2</v>
      </c>
      <c r="C10" s="173" t="s">
        <v>19</v>
      </c>
      <c r="D10" s="174" t="s">
        <v>20</v>
      </c>
      <c r="F10" s="245">
        <f>+AuxOPEXDrivers!G$14</f>
        <v>3349176.1979138269</v>
      </c>
      <c r="G10" s="208">
        <f>+AuxOPEXDrivers!H$14</f>
        <v>3399410</v>
      </c>
      <c r="H10" s="208">
        <f>+AuxOPEXDrivers!I$14</f>
        <v>3454727</v>
      </c>
      <c r="I10" s="208">
        <f>+AuxOPEXDrivers!J$14</f>
        <v>3509988</v>
      </c>
      <c r="K10" s="211">
        <f>AuxOPEXCustoUnit!AH11</f>
        <v>40.687777427115776</v>
      </c>
      <c r="M10" s="208">
        <f t="shared" si="1"/>
        <v>136270535.70491165</v>
      </c>
      <c r="N10" s="208">
        <f t="shared" si="1"/>
        <v>138314437.46351165</v>
      </c>
      <c r="O10" s="208">
        <f t="shared" si="1"/>
        <v>140565163.2474474</v>
      </c>
      <c r="P10" s="208">
        <f t="shared" si="1"/>
        <v>142813610.51584724</v>
      </c>
    </row>
    <row r="11" spans="1:16">
      <c r="A11" s="2" t="str">
        <f t="shared" si="0"/>
        <v>Materiais GeraisDistribuição</v>
      </c>
      <c r="B11" s="175" t="s">
        <v>3</v>
      </c>
      <c r="C11" s="176" t="s">
        <v>19</v>
      </c>
      <c r="D11" s="177" t="s">
        <v>20</v>
      </c>
      <c r="F11" s="246">
        <f>+AuxOPEXDrivers!G$14</f>
        <v>3349176.1979138269</v>
      </c>
      <c r="G11" s="209">
        <f>+AuxOPEXDrivers!H$14</f>
        <v>3399410</v>
      </c>
      <c r="H11" s="209">
        <f>+AuxOPEXDrivers!I$14</f>
        <v>3454727</v>
      </c>
      <c r="I11" s="209">
        <f>+AuxOPEXDrivers!J$14</f>
        <v>3509988</v>
      </c>
      <c r="K11" s="212">
        <f>AuxOPEXCustoUnit!AH12</f>
        <v>2.9034887548349686</v>
      </c>
      <c r="M11" s="209">
        <f t="shared" si="1"/>
        <v>9724295.4286037311</v>
      </c>
      <c r="N11" s="209">
        <f t="shared" si="1"/>
        <v>9870148.7080735415</v>
      </c>
      <c r="O11" s="209">
        <f t="shared" si="1"/>
        <v>10030760.995524747</v>
      </c>
      <c r="P11" s="209">
        <f t="shared" si="1"/>
        <v>10191210.687605681</v>
      </c>
    </row>
    <row r="12" spans="1:16">
      <c r="A12" s="2" t="str">
        <f t="shared" si="0"/>
        <v>Materiais de TratamentoDistribuição</v>
      </c>
      <c r="B12" s="175" t="s">
        <v>4</v>
      </c>
      <c r="C12" s="176" t="s">
        <v>19</v>
      </c>
      <c r="D12" s="177" t="s">
        <v>21</v>
      </c>
      <c r="F12" s="246">
        <f>+AuxOPEXDrivers!G$10</f>
        <v>491023486.66666663</v>
      </c>
      <c r="G12" s="209">
        <f>+AuxOPEXDrivers!H$10</f>
        <v>509834370</v>
      </c>
      <c r="H12" s="209">
        <f>+AuxOPEXDrivers!I$10</f>
        <v>526505707</v>
      </c>
      <c r="I12" s="209">
        <f>+AuxOPEXDrivers!J$10</f>
        <v>534936475</v>
      </c>
      <c r="K12" s="212">
        <f>AuxOPEXCustoUnit!AH13</f>
        <v>8.3080718395334767E-5</v>
      </c>
      <c r="M12" s="209">
        <f t="shared" si="1"/>
        <v>40794.584021248746</v>
      </c>
      <c r="N12" s="209">
        <f t="shared" si="1"/>
        <v>42357.405722232914</v>
      </c>
      <c r="O12" s="209">
        <f t="shared" si="1"/>
        <v>43742.472376803635</v>
      </c>
      <c r="P12" s="209">
        <f t="shared" si="1"/>
        <v>44442.906638868037</v>
      </c>
    </row>
    <row r="13" spans="1:16">
      <c r="A13" s="2" t="str">
        <f t="shared" si="0"/>
        <v>Serviços de TerceirosDistribuição</v>
      </c>
      <c r="B13" s="175" t="s">
        <v>5</v>
      </c>
      <c r="C13" s="176" t="s">
        <v>19</v>
      </c>
      <c r="D13" s="177" t="s">
        <v>20</v>
      </c>
      <c r="F13" s="246">
        <f>+AuxOPEXDrivers!G$14</f>
        <v>3349176.1979138269</v>
      </c>
      <c r="G13" s="209">
        <f>+AuxOPEXDrivers!H$14</f>
        <v>3399410</v>
      </c>
      <c r="H13" s="209">
        <f>+AuxOPEXDrivers!I$14</f>
        <v>3454727</v>
      </c>
      <c r="I13" s="209">
        <f>+AuxOPEXDrivers!J$14</f>
        <v>3509988</v>
      </c>
      <c r="K13" s="212">
        <f>AuxOPEXCustoUnit!AH14</f>
        <v>54.351563943751216</v>
      </c>
      <c r="M13" s="209">
        <f t="shared" si="1"/>
        <v>182032964.27980295</v>
      </c>
      <c r="N13" s="209">
        <f t="shared" si="1"/>
        <v>184763249.98602733</v>
      </c>
      <c r="O13" s="209">
        <f t="shared" si="1"/>
        <v>187769815.4487038</v>
      </c>
      <c r="P13" s="209">
        <f t="shared" si="1"/>
        <v>190773337.22379944</v>
      </c>
    </row>
    <row r="14" spans="1:16" hidden="1">
      <c r="A14" s="2" t="str">
        <f t="shared" si="0"/>
        <v>EnergiaDistribuição</v>
      </c>
      <c r="B14" s="175" t="s">
        <v>18</v>
      </c>
      <c r="C14" s="176" t="s">
        <v>19</v>
      </c>
      <c r="D14" s="177" t="s">
        <v>21</v>
      </c>
      <c r="F14" s="246">
        <f>+AuxOPEXDrivers!G$10</f>
        <v>491023486.66666663</v>
      </c>
      <c r="G14" s="209">
        <f>+AuxOPEXDrivers!H$10</f>
        <v>509834370</v>
      </c>
      <c r="H14" s="209">
        <f>+AuxOPEXDrivers!I$10</f>
        <v>526505707</v>
      </c>
      <c r="I14" s="209">
        <f>+AuxOPEXDrivers!J$10</f>
        <v>534936475</v>
      </c>
      <c r="K14" s="212">
        <f>AuxOPEXCustoUnit!AH15</f>
        <v>0.21626388871003108</v>
      </c>
      <c r="M14" s="209">
        <f t="shared" si="1"/>
        <v>106190648.67449142</v>
      </c>
      <c r="N14" s="209">
        <f t="shared" si="1"/>
        <v>110258763.4542288</v>
      </c>
      <c r="O14" s="209">
        <f t="shared" si="1"/>
        <v>113864171.62384424</v>
      </c>
      <c r="P14" s="209">
        <f t="shared" si="1"/>
        <v>115687442.29633632</v>
      </c>
    </row>
    <row r="15" spans="1:16" ht="17.25" thickBot="1">
      <c r="A15" s="2" t="str">
        <f t="shared" si="0"/>
        <v>Despesas GeraisDistribuição</v>
      </c>
      <c r="B15" s="178" t="s">
        <v>6</v>
      </c>
      <c r="C15" s="179" t="s">
        <v>19</v>
      </c>
      <c r="D15" s="180" t="s">
        <v>20</v>
      </c>
      <c r="F15" s="247">
        <f>+AuxOPEXDrivers!G$14</f>
        <v>3349176.1979138269</v>
      </c>
      <c r="G15" s="210">
        <f>+AuxOPEXDrivers!H$14</f>
        <v>3399410</v>
      </c>
      <c r="H15" s="210">
        <f>+AuxOPEXDrivers!I$14</f>
        <v>3454727</v>
      </c>
      <c r="I15" s="210">
        <f>+AuxOPEXDrivers!J$14</f>
        <v>3509988</v>
      </c>
      <c r="K15" s="213">
        <f>AuxOPEXCustoUnit!AH16</f>
        <v>-0.53286923843397083</v>
      </c>
      <c r="M15" s="210">
        <f t="shared" si="1"/>
        <v>-1784672.9699635229</v>
      </c>
      <c r="N15" s="210">
        <f t="shared" si="1"/>
        <v>-1811441.0178248247</v>
      </c>
      <c r="O15" s="210">
        <f t="shared" si="1"/>
        <v>-1840917.7454872767</v>
      </c>
      <c r="P15" s="210">
        <f t="shared" si="1"/>
        <v>-1870364.6324723763</v>
      </c>
    </row>
    <row r="16" spans="1:16">
      <c r="A16" s="2" t="str">
        <f t="shared" si="0"/>
        <v>PessoalColeta</v>
      </c>
      <c r="B16" s="172" t="s">
        <v>2</v>
      </c>
      <c r="C16" s="173" t="s">
        <v>22</v>
      </c>
      <c r="D16" s="174" t="s">
        <v>23</v>
      </c>
      <c r="F16" s="245">
        <f>+AuxOPEXDrivers!G$26</f>
        <v>2379428.2279534414</v>
      </c>
      <c r="G16" s="208">
        <f>+AuxOPEXDrivers!H$26</f>
        <v>2446013</v>
      </c>
      <c r="H16" s="208">
        <f>+AuxOPEXDrivers!I$26</f>
        <v>2546225</v>
      </c>
      <c r="I16" s="208">
        <f>+AuxOPEXDrivers!J$26</f>
        <v>2645902</v>
      </c>
      <c r="K16" s="211">
        <f>AuxOPEXCustoUnit!AH17</f>
        <v>18.297916417181682</v>
      </c>
      <c r="M16" s="208">
        <f t="shared" si="1"/>
        <v>43538578.835774794</v>
      </c>
      <c r="N16" s="208">
        <f t="shared" si="1"/>
        <v>44756941.429339819</v>
      </c>
      <c r="O16" s="208">
        <f t="shared" si="1"/>
        <v>46590612.22933843</v>
      </c>
      <c r="P16" s="208">
        <f t="shared" si="1"/>
        <v>48414493.644053847</v>
      </c>
    </row>
    <row r="17" spans="1:16">
      <c r="A17" s="2" t="str">
        <f t="shared" si="0"/>
        <v>Materiais GeraisColeta</v>
      </c>
      <c r="B17" s="175" t="s">
        <v>3</v>
      </c>
      <c r="C17" s="176" t="s">
        <v>22</v>
      </c>
      <c r="D17" s="177" t="s">
        <v>23</v>
      </c>
      <c r="F17" s="246">
        <f>+AuxOPEXDrivers!G$26</f>
        <v>2379428.2279534414</v>
      </c>
      <c r="G17" s="209">
        <f>+AuxOPEXDrivers!H$26</f>
        <v>2446013</v>
      </c>
      <c r="H17" s="209">
        <f>+AuxOPEXDrivers!I$26</f>
        <v>2546225</v>
      </c>
      <c r="I17" s="209">
        <f>+AuxOPEXDrivers!J$26</f>
        <v>2645902</v>
      </c>
      <c r="K17" s="212">
        <f>AuxOPEXCustoUnit!AH18</f>
        <v>2.3196211101762549</v>
      </c>
      <c r="M17" s="209">
        <f t="shared" si="1"/>
        <v>5519371.947710081</v>
      </c>
      <c r="N17" s="209">
        <f t="shared" si="1"/>
        <v>5673823.3905655518</v>
      </c>
      <c r="O17" s="209">
        <f t="shared" si="1"/>
        <v>5906277.2612585351</v>
      </c>
      <c r="P17" s="209">
        <f t="shared" si="1"/>
        <v>6137490.134657573</v>
      </c>
    </row>
    <row r="18" spans="1:16">
      <c r="A18" s="2" t="str">
        <f t="shared" si="0"/>
        <v>Materiais de TratamentoColeta</v>
      </c>
      <c r="B18" s="175" t="s">
        <v>4</v>
      </c>
      <c r="C18" s="176" t="s">
        <v>22</v>
      </c>
      <c r="D18" s="177" t="s">
        <v>24</v>
      </c>
      <c r="F18" s="246">
        <f>+AuxOPEXDrivers!G$18</f>
        <v>372401582.66666669</v>
      </c>
      <c r="G18" s="209">
        <f>+AuxOPEXDrivers!H$18</f>
        <v>394878331</v>
      </c>
      <c r="H18" s="209">
        <f>+AuxOPEXDrivers!I$18</f>
        <v>412703751</v>
      </c>
      <c r="I18" s="209">
        <f>+AuxOPEXDrivers!J$18</f>
        <v>427421999</v>
      </c>
      <c r="K18" s="212">
        <f>AuxOPEXCustoUnit!AH19</f>
        <v>4.7648326549064974E-4</v>
      </c>
      <c r="M18" s="209">
        <f t="shared" si="1"/>
        <v>177443.12218289947</v>
      </c>
      <c r="N18" s="209">
        <f t="shared" si="1"/>
        <v>188152.91662637767</v>
      </c>
      <c r="O18" s="209">
        <f t="shared" si="1"/>
        <v>196646.43095672</v>
      </c>
      <c r="P18" s="209">
        <f t="shared" si="1"/>
        <v>203659.42982606124</v>
      </c>
    </row>
    <row r="19" spans="1:16">
      <c r="A19" s="2" t="str">
        <f t="shared" si="0"/>
        <v>Serviços de TerceirosColeta</v>
      </c>
      <c r="B19" s="175" t="s">
        <v>5</v>
      </c>
      <c r="C19" s="176" t="s">
        <v>22</v>
      </c>
      <c r="D19" s="177" t="s">
        <v>23</v>
      </c>
      <c r="F19" s="246">
        <f>+AuxOPEXDrivers!G$26</f>
        <v>2379428.2279534414</v>
      </c>
      <c r="G19" s="209">
        <f>+AuxOPEXDrivers!H$26</f>
        <v>2446013</v>
      </c>
      <c r="H19" s="209">
        <f>+AuxOPEXDrivers!I$26</f>
        <v>2546225</v>
      </c>
      <c r="I19" s="209">
        <f>+AuxOPEXDrivers!J$26</f>
        <v>2645902</v>
      </c>
      <c r="K19" s="212">
        <f>AuxOPEXCustoUnit!AH20</f>
        <v>21.143086856158511</v>
      </c>
      <c r="M19" s="209">
        <f t="shared" si="1"/>
        <v>50308457.691614948</v>
      </c>
      <c r="N19" s="209">
        <f t="shared" si="1"/>
        <v>51716265.310292847</v>
      </c>
      <c r="O19" s="209">
        <f t="shared" si="1"/>
        <v>53835056.330322206</v>
      </c>
      <c r="P19" s="209">
        <f t="shared" si="1"/>
        <v>55942535.79888352</v>
      </c>
    </row>
    <row r="20" spans="1:16" hidden="1">
      <c r="A20" s="2" t="str">
        <f t="shared" si="0"/>
        <v>EnergiaColeta</v>
      </c>
      <c r="B20" s="175" t="s">
        <v>18</v>
      </c>
      <c r="C20" s="176" t="s">
        <v>22</v>
      </c>
      <c r="D20" s="177" t="s">
        <v>24</v>
      </c>
      <c r="F20" s="246">
        <f>+AuxOPEXDrivers!G$18</f>
        <v>372401582.66666669</v>
      </c>
      <c r="G20" s="209">
        <f>+AuxOPEXDrivers!H$18</f>
        <v>394878331</v>
      </c>
      <c r="H20" s="209">
        <f>+AuxOPEXDrivers!I$18</f>
        <v>412703751</v>
      </c>
      <c r="I20" s="209">
        <f>+AuxOPEXDrivers!J$18</f>
        <v>427421999</v>
      </c>
      <c r="K20" s="212">
        <f>AuxOPEXCustoUnit!AH21</f>
        <v>8.1523443813428156E-3</v>
      </c>
      <c r="M20" s="209">
        <f t="shared" si="1"/>
        <v>3035945.9500557724</v>
      </c>
      <c r="N20" s="209">
        <f t="shared" si="1"/>
        <v>3219184.1430418785</v>
      </c>
      <c r="O20" s="209">
        <f t="shared" si="1"/>
        <v>3364503.1056239544</v>
      </c>
      <c r="P20" s="209">
        <f t="shared" si="1"/>
        <v>3484491.3320099646</v>
      </c>
    </row>
    <row r="21" spans="1:16" ht="17.25" thickBot="1">
      <c r="A21" s="2" t="str">
        <f t="shared" si="0"/>
        <v>Despesas GeraisColeta</v>
      </c>
      <c r="B21" s="178" t="s">
        <v>6</v>
      </c>
      <c r="C21" s="179" t="s">
        <v>22</v>
      </c>
      <c r="D21" s="180" t="s">
        <v>23</v>
      </c>
      <c r="F21" s="247">
        <f>+AuxOPEXDrivers!G$26</f>
        <v>2379428.2279534414</v>
      </c>
      <c r="G21" s="210">
        <f>+AuxOPEXDrivers!H$26</f>
        <v>2446013</v>
      </c>
      <c r="H21" s="210">
        <f>+AuxOPEXDrivers!I$26</f>
        <v>2546225</v>
      </c>
      <c r="I21" s="210">
        <f>+AuxOPEXDrivers!J$26</f>
        <v>2645902</v>
      </c>
      <c r="K21" s="213">
        <f>AuxOPEXCustoUnit!AH22</f>
        <v>-0.14127022180592883</v>
      </c>
      <c r="M21" s="210">
        <f t="shared" si="1"/>
        <v>-336142.35353427083</v>
      </c>
      <c r="N21" s="210">
        <f t="shared" si="1"/>
        <v>-345548.79905018536</v>
      </c>
      <c r="O21" s="210">
        <f t="shared" si="1"/>
        <v>-359705.77051780111</v>
      </c>
      <c r="P21" s="210">
        <f t="shared" si="1"/>
        <v>-373787.16241675068</v>
      </c>
    </row>
    <row r="22" spans="1:16">
      <c r="A22" s="2" t="str">
        <f t="shared" si="0"/>
        <v>PessoalTratamento</v>
      </c>
      <c r="B22" s="172" t="s">
        <v>2</v>
      </c>
      <c r="C22" s="173" t="s">
        <v>25</v>
      </c>
      <c r="D22" s="174" t="s">
        <v>26</v>
      </c>
      <c r="F22" s="245">
        <f>+AuxOPEXDrivers!G$22</f>
        <v>372401582.66666669</v>
      </c>
      <c r="G22" s="208">
        <f>+AuxOPEXDrivers!H$22</f>
        <v>394878331</v>
      </c>
      <c r="H22" s="208">
        <f>+AuxOPEXDrivers!I$22</f>
        <v>412703751</v>
      </c>
      <c r="I22" s="208">
        <f>+AuxOPEXDrivers!J$22</f>
        <v>427421999</v>
      </c>
      <c r="K22" s="211">
        <f>AuxOPEXCustoUnit!AH23</f>
        <v>0.17048996123694887</v>
      </c>
      <c r="M22" s="208">
        <f t="shared" si="1"/>
        <v>63490731.393418416</v>
      </c>
      <c r="N22" s="208">
        <f t="shared" si="1"/>
        <v>67322791.345501065</v>
      </c>
      <c r="O22" s="208">
        <f t="shared" si="1"/>
        <v>70361846.510333404</v>
      </c>
      <c r="P22" s="208">
        <f t="shared" si="1"/>
        <v>72871160.041329205</v>
      </c>
    </row>
    <row r="23" spans="1:16">
      <c r="A23" s="2" t="str">
        <f t="shared" si="0"/>
        <v>Materiais GeraisTratamento</v>
      </c>
      <c r="B23" s="175" t="s">
        <v>3</v>
      </c>
      <c r="C23" s="176" t="s">
        <v>25</v>
      </c>
      <c r="D23" s="177" t="s">
        <v>26</v>
      </c>
      <c r="F23" s="246">
        <f>+AuxOPEXDrivers!G$22</f>
        <v>372401582.66666669</v>
      </c>
      <c r="G23" s="209">
        <f>+AuxOPEXDrivers!H$22</f>
        <v>394878331</v>
      </c>
      <c r="H23" s="209">
        <f>+AuxOPEXDrivers!I$22</f>
        <v>412703751</v>
      </c>
      <c r="I23" s="209">
        <f>+AuxOPEXDrivers!J$22</f>
        <v>427421999</v>
      </c>
      <c r="K23" s="212">
        <f>AuxOPEXCustoUnit!AH24</f>
        <v>1.3428156831869213E-2</v>
      </c>
      <c r="M23" s="209">
        <f t="shared" si="1"/>
        <v>5000666.8564843079</v>
      </c>
      <c r="N23" s="209">
        <f t="shared" si="1"/>
        <v>5302488.1581747625</v>
      </c>
      <c r="O23" s="209">
        <f t="shared" si="1"/>
        <v>5541850.6935287006</v>
      </c>
      <c r="P23" s="209">
        <f t="shared" si="1"/>
        <v>5739489.635963046</v>
      </c>
    </row>
    <row r="24" spans="1:16">
      <c r="A24" s="2" t="str">
        <f t="shared" si="0"/>
        <v>Materiais de TratamentoTratamento</v>
      </c>
      <c r="B24" s="175" t="s">
        <v>4</v>
      </c>
      <c r="C24" s="176" t="s">
        <v>25</v>
      </c>
      <c r="D24" s="177" t="s">
        <v>26</v>
      </c>
      <c r="F24" s="246">
        <f>+AuxOPEXDrivers!G$22</f>
        <v>372401582.66666669</v>
      </c>
      <c r="G24" s="209">
        <f>+AuxOPEXDrivers!H$22</f>
        <v>394878331</v>
      </c>
      <c r="H24" s="209">
        <f>+AuxOPEXDrivers!I$22</f>
        <v>412703751</v>
      </c>
      <c r="I24" s="209">
        <f>+AuxOPEXDrivers!J$22</f>
        <v>427421999</v>
      </c>
      <c r="K24" s="212">
        <f>AuxOPEXCustoUnit!AH25</f>
        <v>0.1154169080598203</v>
      </c>
      <c r="M24" s="209">
        <f t="shared" si="1"/>
        <v>42981439.227970235</v>
      </c>
      <c r="N24" s="209">
        <f t="shared" si="1"/>
        <v>45575636.02384229</v>
      </c>
      <c r="O24" s="209">
        <f t="shared" si="1"/>
        <v>47632990.885109968</v>
      </c>
      <c r="P24" s="209">
        <f t="shared" si="1"/>
        <v>49331725.561327606</v>
      </c>
    </row>
    <row r="25" spans="1:16">
      <c r="A25" s="2" t="str">
        <f t="shared" si="0"/>
        <v>Serviços de TerceirosTratamento</v>
      </c>
      <c r="B25" s="175" t="s">
        <v>5</v>
      </c>
      <c r="C25" s="176" t="s">
        <v>25</v>
      </c>
      <c r="D25" s="177" t="s">
        <v>26</v>
      </c>
      <c r="F25" s="246">
        <f>+AuxOPEXDrivers!G$22</f>
        <v>372401582.66666669</v>
      </c>
      <c r="G25" s="209">
        <f>+AuxOPEXDrivers!H$22</f>
        <v>394878331</v>
      </c>
      <c r="H25" s="209">
        <f>+AuxOPEXDrivers!I$22</f>
        <v>412703751</v>
      </c>
      <c r="I25" s="209">
        <f>+AuxOPEXDrivers!J$22</f>
        <v>427421999</v>
      </c>
      <c r="K25" s="212">
        <f>AuxOPEXCustoUnit!AH26</f>
        <v>0.30815616017823821</v>
      </c>
      <c r="M25" s="209">
        <f t="shared" si="1"/>
        <v>114757841.75885876</v>
      </c>
      <c r="N25" s="209">
        <f t="shared" si="1"/>
        <v>121684190.21855137</v>
      </c>
      <c r="O25" s="209">
        <f t="shared" si="1"/>
        <v>127177203.19931574</v>
      </c>
      <c r="P25" s="209">
        <f t="shared" si="1"/>
        <v>131712721.98754677</v>
      </c>
    </row>
    <row r="26" spans="1:16" hidden="1">
      <c r="A26" s="2" t="str">
        <f t="shared" si="0"/>
        <v>EnergiaTratamento</v>
      </c>
      <c r="B26" s="175" t="s">
        <v>18</v>
      </c>
      <c r="C26" s="176" t="s">
        <v>25</v>
      </c>
      <c r="D26" s="177" t="s">
        <v>26</v>
      </c>
      <c r="F26" s="246">
        <f>+AuxOPEXDrivers!G$22</f>
        <v>372401582.66666669</v>
      </c>
      <c r="G26" s="209">
        <f>+AuxOPEXDrivers!H$22</f>
        <v>394878331</v>
      </c>
      <c r="H26" s="209">
        <f>+AuxOPEXDrivers!I$22</f>
        <v>412703751</v>
      </c>
      <c r="I26" s="209">
        <f>+AuxOPEXDrivers!J$22</f>
        <v>427421999</v>
      </c>
      <c r="K26" s="212">
        <f>AuxOPEXCustoUnit!AH27</f>
        <v>0.12009422523833473</v>
      </c>
      <c r="M26" s="209">
        <f t="shared" si="1"/>
        <v>44723279.547882996</v>
      </c>
      <c r="N26" s="209">
        <f t="shared" si="1"/>
        <v>47422607.22485169</v>
      </c>
      <c r="O26" s="209">
        <f t="shared" si="1"/>
        <v>49563337.229299612</v>
      </c>
      <c r="P26" s="209">
        <f t="shared" si="1"/>
        <v>51330913.819725282</v>
      </c>
    </row>
    <row r="27" spans="1:16" ht="17.25" thickBot="1">
      <c r="A27" s="2" t="str">
        <f t="shared" si="0"/>
        <v>Despesas GeraisTratamento</v>
      </c>
      <c r="B27" s="178" t="s">
        <v>6</v>
      </c>
      <c r="C27" s="179" t="s">
        <v>25</v>
      </c>
      <c r="D27" s="180" t="s">
        <v>26</v>
      </c>
      <c r="F27" s="247">
        <f>+AuxOPEXDrivers!G$22</f>
        <v>372401582.66666669</v>
      </c>
      <c r="G27" s="210">
        <f>+AuxOPEXDrivers!H$22</f>
        <v>394878331</v>
      </c>
      <c r="H27" s="210">
        <f>+AuxOPEXDrivers!I$22</f>
        <v>412703751</v>
      </c>
      <c r="I27" s="210">
        <f>+AuxOPEXDrivers!J$22</f>
        <v>427421999</v>
      </c>
      <c r="K27" s="213">
        <f>AuxOPEXCustoUnit!AH28</f>
        <v>-5.2283398511995772E-3</v>
      </c>
      <c r="M27" s="210">
        <f t="shared" si="1"/>
        <v>-1947042.0353059273</v>
      </c>
      <c r="N27" s="210">
        <f t="shared" si="1"/>
        <v>-2064558.1143424774</v>
      </c>
      <c r="O27" s="210">
        <f t="shared" si="1"/>
        <v>-2157755.4680928471</v>
      </c>
      <c r="P27" s="210">
        <f t="shared" si="1"/>
        <v>-2234707.470651086</v>
      </c>
    </row>
    <row r="28" spans="1:16">
      <c r="A28" s="2" t="str">
        <f t="shared" si="0"/>
        <v>PessoalComerciais</v>
      </c>
      <c r="B28" s="172" t="s">
        <v>2</v>
      </c>
      <c r="C28" s="173" t="s">
        <v>27</v>
      </c>
      <c r="D28" s="174" t="s">
        <v>20</v>
      </c>
      <c r="F28" s="245">
        <f>+AuxOPEXDrivers!G$14</f>
        <v>3349176.1979138269</v>
      </c>
      <c r="G28" s="208">
        <f>+AuxOPEXDrivers!H$14</f>
        <v>3399410</v>
      </c>
      <c r="H28" s="208">
        <f>+AuxOPEXDrivers!I$14</f>
        <v>3454727</v>
      </c>
      <c r="I28" s="208">
        <f>+AuxOPEXDrivers!J$14</f>
        <v>3509988</v>
      </c>
      <c r="K28" s="211">
        <f>AuxOPEXCustoUnit!AH29</f>
        <v>38.252077462442799</v>
      </c>
      <c r="M28" s="208">
        <f t="shared" si="1"/>
        <v>128112947.35796936</v>
      </c>
      <c r="N28" s="208">
        <f t="shared" si="1"/>
        <v>130034494.64660268</v>
      </c>
      <c r="O28" s="208">
        <f t="shared" si="1"/>
        <v>132150484.81559262</v>
      </c>
      <c r="P28" s="208">
        <f t="shared" si="1"/>
        <v>134264332.86824468</v>
      </c>
    </row>
    <row r="29" spans="1:16">
      <c r="A29" s="2" t="str">
        <f t="shared" si="0"/>
        <v>Materiais GeraisComerciais</v>
      </c>
      <c r="B29" s="175" t="s">
        <v>3</v>
      </c>
      <c r="C29" s="176" t="s">
        <v>27</v>
      </c>
      <c r="D29" s="177" t="s">
        <v>20</v>
      </c>
      <c r="F29" s="246">
        <f>+AuxOPEXDrivers!G$14</f>
        <v>3349176.1979138269</v>
      </c>
      <c r="G29" s="209">
        <f>+AuxOPEXDrivers!H$14</f>
        <v>3399410</v>
      </c>
      <c r="H29" s="209">
        <f>+AuxOPEXDrivers!I$14</f>
        <v>3454727</v>
      </c>
      <c r="I29" s="209">
        <f>+AuxOPEXDrivers!J$14</f>
        <v>3509988</v>
      </c>
      <c r="K29" s="212">
        <f>AuxOPEXCustoUnit!AH30</f>
        <v>0.96739615377448929</v>
      </c>
      <c r="M29" s="209">
        <f t="shared" si="1"/>
        <v>3239980.172174904</v>
      </c>
      <c r="N29" s="209">
        <f t="shared" si="1"/>
        <v>3288576.1591025367</v>
      </c>
      <c r="O29" s="209">
        <f t="shared" si="1"/>
        <v>3342089.61214088</v>
      </c>
      <c r="P29" s="209">
        <f t="shared" si="1"/>
        <v>3395548.8909946121</v>
      </c>
    </row>
    <row r="30" spans="1:16">
      <c r="A30" s="2" t="str">
        <f t="shared" si="0"/>
        <v>Materiais de TratamentoComerciais</v>
      </c>
      <c r="B30" s="175" t="s">
        <v>4</v>
      </c>
      <c r="C30" s="176" t="s">
        <v>27</v>
      </c>
      <c r="D30" s="177" t="s">
        <v>20</v>
      </c>
      <c r="F30" s="246">
        <f>+AuxOPEXDrivers!G$14</f>
        <v>3349176.1979138269</v>
      </c>
      <c r="G30" s="209">
        <f>+AuxOPEXDrivers!H$14</f>
        <v>3399410</v>
      </c>
      <c r="H30" s="209">
        <f>+AuxOPEXDrivers!I$14</f>
        <v>3454727</v>
      </c>
      <c r="I30" s="209">
        <f>+AuxOPEXDrivers!J$14</f>
        <v>3509988</v>
      </c>
      <c r="K30" s="212">
        <f>AuxOPEXCustoUnit!AH31</f>
        <v>0</v>
      </c>
      <c r="M30" s="209">
        <f t="shared" si="1"/>
        <v>0</v>
      </c>
      <c r="N30" s="209">
        <f t="shared" si="1"/>
        <v>0</v>
      </c>
      <c r="O30" s="209">
        <f t="shared" si="1"/>
        <v>0</v>
      </c>
      <c r="P30" s="209">
        <f t="shared" si="1"/>
        <v>0</v>
      </c>
    </row>
    <row r="31" spans="1:16">
      <c r="A31" s="2" t="str">
        <f t="shared" si="0"/>
        <v>Serviços de TerceirosComerciais</v>
      </c>
      <c r="B31" s="175" t="s">
        <v>5</v>
      </c>
      <c r="C31" s="176" t="s">
        <v>27</v>
      </c>
      <c r="D31" s="177" t="s">
        <v>20</v>
      </c>
      <c r="F31" s="246">
        <f>+AuxOPEXDrivers!G$14</f>
        <v>3349176.1979138269</v>
      </c>
      <c r="G31" s="209">
        <f>+AuxOPEXDrivers!H$14</f>
        <v>3399410</v>
      </c>
      <c r="H31" s="209">
        <f>+AuxOPEXDrivers!I$14</f>
        <v>3454727</v>
      </c>
      <c r="I31" s="209">
        <f>+AuxOPEXDrivers!J$14</f>
        <v>3509988</v>
      </c>
      <c r="K31" s="212">
        <f>AuxOPEXCustoUnit!AH32</f>
        <v>32.617102186188646</v>
      </c>
      <c r="M31" s="209">
        <f t="shared" si="1"/>
        <v>109240422.28690606</v>
      </c>
      <c r="N31" s="209">
        <f t="shared" si="1"/>
        <v>110878903.34275155</v>
      </c>
      <c r="O31" s="209">
        <f t="shared" si="1"/>
        <v>112683183.58438495</v>
      </c>
      <c r="P31" s="209">
        <f t="shared" si="1"/>
        <v>114485637.26829591</v>
      </c>
    </row>
    <row r="32" spans="1:16" hidden="1">
      <c r="A32" s="2" t="str">
        <f t="shared" si="0"/>
        <v>EnergiaComerciais</v>
      </c>
      <c r="B32" s="175" t="s">
        <v>18</v>
      </c>
      <c r="C32" s="176" t="s">
        <v>27</v>
      </c>
      <c r="D32" s="177" t="s">
        <v>20</v>
      </c>
      <c r="F32" s="246">
        <f>+AuxOPEXDrivers!G$14</f>
        <v>3349176.1979138269</v>
      </c>
      <c r="G32" s="209">
        <f>+AuxOPEXDrivers!H$14</f>
        <v>3399410</v>
      </c>
      <c r="H32" s="209">
        <f>+AuxOPEXDrivers!I$14</f>
        <v>3454727</v>
      </c>
      <c r="I32" s="209">
        <f>+AuxOPEXDrivers!J$14</f>
        <v>3509988</v>
      </c>
      <c r="K32" s="212">
        <f>AuxOPEXCustoUnit!AH33</f>
        <v>0.33019655404243425</v>
      </c>
      <c r="M32" s="209">
        <f t="shared" si="1"/>
        <v>1105886.4394320874</v>
      </c>
      <c r="N32" s="209">
        <f t="shared" si="1"/>
        <v>1122473.4677773914</v>
      </c>
      <c r="O32" s="209">
        <f t="shared" si="1"/>
        <v>1140738.9505573567</v>
      </c>
      <c r="P32" s="209">
        <f t="shared" si="1"/>
        <v>1158985.9423302957</v>
      </c>
    </row>
    <row r="33" spans="1:17" ht="17.25" thickBot="1">
      <c r="A33" s="2" t="str">
        <f t="shared" si="0"/>
        <v>Despesas GeraisComerciais</v>
      </c>
      <c r="B33" s="178" t="s">
        <v>6</v>
      </c>
      <c r="C33" s="179" t="s">
        <v>27</v>
      </c>
      <c r="D33" s="180" t="s">
        <v>20</v>
      </c>
      <c r="F33" s="247">
        <f>+AuxOPEXDrivers!G$14</f>
        <v>3349176.1979138269</v>
      </c>
      <c r="G33" s="210">
        <f>+AuxOPEXDrivers!H$14</f>
        <v>3399410</v>
      </c>
      <c r="H33" s="210">
        <f>+AuxOPEXDrivers!I$14</f>
        <v>3454727</v>
      </c>
      <c r="I33" s="210">
        <f>+AuxOPEXDrivers!J$14</f>
        <v>3509988</v>
      </c>
      <c r="K33" s="213">
        <f>AuxOPEXCustoUnit!AH34</f>
        <v>-7.6091763727318202</v>
      </c>
      <c r="M33" s="210">
        <f t="shared" si="1"/>
        <v>-25484472.393281683</v>
      </c>
      <c r="N33" s="210">
        <f t="shared" si="1"/>
        <v>-25866710.253228277</v>
      </c>
      <c r="O33" s="210">
        <f t="shared" si="1"/>
        <v>-26287627.062638681</v>
      </c>
      <c r="P33" s="210">
        <f t="shared" si="1"/>
        <v>-26708117.758172218</v>
      </c>
    </row>
    <row r="34" spans="1:17">
      <c r="A34" s="2" t="str">
        <f t="shared" si="0"/>
        <v>PessoalAdm Central</v>
      </c>
      <c r="B34" s="172" t="s">
        <v>2</v>
      </c>
      <c r="C34" s="173" t="s">
        <v>28</v>
      </c>
      <c r="D34" s="174" t="s">
        <v>29</v>
      </c>
      <c r="F34" s="245">
        <f>AuxOPEXCustoUnit!U35</f>
        <v>1</v>
      </c>
      <c r="G34" s="208">
        <f>AuxOPEXCustoUnit!V35</f>
        <v>1</v>
      </c>
      <c r="H34" s="208">
        <f>AuxOPEXCustoUnit!W35</f>
        <v>1</v>
      </c>
      <c r="I34" s="208">
        <f>AuxOPEXCustoUnit!X35</f>
        <v>1</v>
      </c>
      <c r="K34" s="211">
        <f>AuxOPEXCustoUnit!AH35</f>
        <v>556253484.04969072</v>
      </c>
      <c r="M34" s="208">
        <f t="shared" si="1"/>
        <v>556253484.04969072</v>
      </c>
      <c r="N34" s="208">
        <f t="shared" si="1"/>
        <v>556253484.04969072</v>
      </c>
      <c r="O34" s="208">
        <f t="shared" si="1"/>
        <v>556253484.04969072</v>
      </c>
      <c r="P34" s="208">
        <f t="shared" si="1"/>
        <v>556253484.04969072</v>
      </c>
    </row>
    <row r="35" spans="1:17">
      <c r="A35" s="2" t="str">
        <f t="shared" si="0"/>
        <v>Materiais GeraisAdm Central</v>
      </c>
      <c r="B35" s="175" t="s">
        <v>3</v>
      </c>
      <c r="C35" s="176" t="s">
        <v>28</v>
      </c>
      <c r="D35" s="177" t="s">
        <v>29</v>
      </c>
      <c r="F35" s="246">
        <f>AuxOPEXCustoUnit!U36</f>
        <v>1</v>
      </c>
      <c r="G35" s="209">
        <f>AuxOPEXCustoUnit!V36</f>
        <v>1</v>
      </c>
      <c r="H35" s="209">
        <f>AuxOPEXCustoUnit!W36</f>
        <v>1</v>
      </c>
      <c r="I35" s="209">
        <f>AuxOPEXCustoUnit!X36</f>
        <v>1</v>
      </c>
      <c r="K35" s="212">
        <f>AuxOPEXCustoUnit!AH36</f>
        <v>39893101.289999999</v>
      </c>
      <c r="M35" s="209">
        <f t="shared" si="1"/>
        <v>39893101.289999999</v>
      </c>
      <c r="N35" s="209">
        <f t="shared" si="1"/>
        <v>39893101.289999999</v>
      </c>
      <c r="O35" s="209">
        <f t="shared" si="1"/>
        <v>39893101.289999999</v>
      </c>
      <c r="P35" s="209">
        <f t="shared" si="1"/>
        <v>39893101.289999999</v>
      </c>
    </row>
    <row r="36" spans="1:17">
      <c r="A36" s="2" t="str">
        <f t="shared" si="0"/>
        <v>Materiais de TratamentoAdm Central</v>
      </c>
      <c r="B36" s="175" t="s">
        <v>4</v>
      </c>
      <c r="C36" s="176" t="s">
        <v>28</v>
      </c>
      <c r="D36" s="177" t="s">
        <v>29</v>
      </c>
      <c r="F36" s="246">
        <f>AuxOPEXCustoUnit!U37</f>
        <v>1</v>
      </c>
      <c r="G36" s="209">
        <f>AuxOPEXCustoUnit!V37</f>
        <v>1</v>
      </c>
      <c r="H36" s="209">
        <f>AuxOPEXCustoUnit!W37</f>
        <v>1</v>
      </c>
      <c r="I36" s="209">
        <f>AuxOPEXCustoUnit!X37</f>
        <v>1</v>
      </c>
      <c r="K36" s="212">
        <f>AuxOPEXCustoUnit!AH37</f>
        <v>0</v>
      </c>
      <c r="M36" s="209">
        <f t="shared" si="1"/>
        <v>0</v>
      </c>
      <c r="N36" s="209">
        <f t="shared" si="1"/>
        <v>0</v>
      </c>
      <c r="O36" s="209">
        <f t="shared" si="1"/>
        <v>0</v>
      </c>
      <c r="P36" s="209">
        <f t="shared" si="1"/>
        <v>0</v>
      </c>
    </row>
    <row r="37" spans="1:17">
      <c r="A37" s="2" t="str">
        <f t="shared" si="0"/>
        <v>Serviços de TerceirosAdm Central</v>
      </c>
      <c r="B37" s="175" t="s">
        <v>5</v>
      </c>
      <c r="C37" s="176" t="s">
        <v>28</v>
      </c>
      <c r="D37" s="177" t="s">
        <v>29</v>
      </c>
      <c r="F37" s="246">
        <f>AuxOPEXCustoUnit!U38</f>
        <v>1</v>
      </c>
      <c r="G37" s="209">
        <f>AuxOPEXCustoUnit!V38</f>
        <v>1</v>
      </c>
      <c r="H37" s="209">
        <f>AuxOPEXCustoUnit!W38</f>
        <v>1</v>
      </c>
      <c r="I37" s="209">
        <f>AuxOPEXCustoUnit!X38</f>
        <v>1</v>
      </c>
      <c r="K37" s="212">
        <f>AuxOPEXCustoUnit!AH38</f>
        <v>104225539.53999999</v>
      </c>
      <c r="M37" s="209">
        <f t="shared" si="1"/>
        <v>104225539.53999999</v>
      </c>
      <c r="N37" s="209">
        <f t="shared" si="1"/>
        <v>104225539.53999999</v>
      </c>
      <c r="O37" s="209">
        <f t="shared" si="1"/>
        <v>104225539.53999999</v>
      </c>
      <c r="P37" s="209">
        <f t="shared" si="1"/>
        <v>104225539.53999999</v>
      </c>
    </row>
    <row r="38" spans="1:17" hidden="1">
      <c r="A38" s="2" t="str">
        <f t="shared" si="0"/>
        <v>EnergiaAdm Central</v>
      </c>
      <c r="B38" s="175" t="s">
        <v>18</v>
      </c>
      <c r="C38" s="176" t="s">
        <v>28</v>
      </c>
      <c r="D38" s="177" t="s">
        <v>29</v>
      </c>
      <c r="F38" s="246">
        <f>AuxOPEXCustoUnit!U39</f>
        <v>1</v>
      </c>
      <c r="G38" s="209">
        <f>AuxOPEXCustoUnit!V39</f>
        <v>1</v>
      </c>
      <c r="H38" s="209">
        <f>AuxOPEXCustoUnit!W39</f>
        <v>1</v>
      </c>
      <c r="I38" s="209">
        <f>AuxOPEXCustoUnit!X39</f>
        <v>1</v>
      </c>
      <c r="K38" s="212">
        <f>AuxOPEXCustoUnit!AH39</f>
        <v>5230494.8599999994</v>
      </c>
      <c r="M38" s="209">
        <f t="shared" si="1"/>
        <v>5230494.8599999994</v>
      </c>
      <c r="N38" s="209">
        <f t="shared" si="1"/>
        <v>5230494.8599999994</v>
      </c>
      <c r="O38" s="209">
        <f t="shared" si="1"/>
        <v>5230494.8599999994</v>
      </c>
      <c r="P38" s="209">
        <f t="shared" si="1"/>
        <v>5230494.8599999994</v>
      </c>
    </row>
    <row r="39" spans="1:17" ht="17.25" thickBot="1">
      <c r="A39" s="2" t="str">
        <f t="shared" si="0"/>
        <v>Despesas GeraisAdm Central</v>
      </c>
      <c r="B39" s="178" t="s">
        <v>6</v>
      </c>
      <c r="C39" s="179" t="s">
        <v>28</v>
      </c>
      <c r="D39" s="180" t="s">
        <v>29</v>
      </c>
      <c r="F39" s="247">
        <f>AuxOPEXCustoUnit!U40</f>
        <v>1</v>
      </c>
      <c r="G39" s="210">
        <f>AuxOPEXCustoUnit!V40</f>
        <v>1</v>
      </c>
      <c r="H39" s="210">
        <f>AuxOPEXCustoUnit!W40</f>
        <v>1</v>
      </c>
      <c r="I39" s="210">
        <f>AuxOPEXCustoUnit!X40</f>
        <v>1</v>
      </c>
      <c r="K39" s="213">
        <f>AuxOPEXCustoUnit!AH40</f>
        <v>6819560.0395023823</v>
      </c>
      <c r="M39" s="210">
        <f>$K39*F39</f>
        <v>6819560.0395023823</v>
      </c>
      <c r="N39" s="210">
        <f>$K39*G39</f>
        <v>6819560.0395023823</v>
      </c>
      <c r="O39" s="210">
        <f>$K39*H39</f>
        <v>6819560.0395023823</v>
      </c>
      <c r="P39" s="210">
        <f>$K39*I39</f>
        <v>6819560.0395023823</v>
      </c>
    </row>
    <row r="40" spans="1:17">
      <c r="B40" s="172" t="s">
        <v>2</v>
      </c>
      <c r="C40" s="173" t="s">
        <v>59</v>
      </c>
      <c r="D40" s="174" t="s">
        <v>29</v>
      </c>
      <c r="F40" s="245">
        <f>AuxOPEXCustoUnit!U41</f>
        <v>1</v>
      </c>
      <c r="G40" s="208">
        <f>AuxOPEXCustoUnit!V41</f>
        <v>1</v>
      </c>
      <c r="H40" s="208">
        <f>AuxOPEXCustoUnit!W41</f>
        <v>1</v>
      </c>
      <c r="I40" s="208">
        <f>AuxOPEXCustoUnit!X41</f>
        <v>1</v>
      </c>
      <c r="K40" s="211">
        <f>AuxOPEXCustoUnit!AH41</f>
        <v>68121558.647253796</v>
      </c>
      <c r="M40" s="208">
        <f t="shared" si="1"/>
        <v>68121558.647253796</v>
      </c>
      <c r="N40" s="208">
        <f t="shared" si="1"/>
        <v>68121558.647253796</v>
      </c>
      <c r="O40" s="208">
        <f t="shared" si="1"/>
        <v>68121558.647253796</v>
      </c>
      <c r="P40" s="208">
        <f t="shared" si="1"/>
        <v>68121558.647253796</v>
      </c>
    </row>
    <row r="41" spans="1:17">
      <c r="B41" s="175" t="s">
        <v>3</v>
      </c>
      <c r="C41" s="176" t="s">
        <v>59</v>
      </c>
      <c r="D41" s="177" t="s">
        <v>29</v>
      </c>
      <c r="F41" s="246">
        <f>AuxOPEXCustoUnit!U42</f>
        <v>1</v>
      </c>
      <c r="G41" s="209">
        <f>AuxOPEXCustoUnit!V42</f>
        <v>1</v>
      </c>
      <c r="H41" s="209">
        <f>AuxOPEXCustoUnit!W42</f>
        <v>1</v>
      </c>
      <c r="I41" s="209">
        <f>AuxOPEXCustoUnit!X42</f>
        <v>1</v>
      </c>
      <c r="K41" s="212">
        <f>AuxOPEXCustoUnit!AH42</f>
        <v>0</v>
      </c>
      <c r="M41" s="209">
        <f t="shared" si="1"/>
        <v>0</v>
      </c>
      <c r="N41" s="209">
        <f t="shared" si="1"/>
        <v>0</v>
      </c>
      <c r="O41" s="209">
        <f t="shared" si="1"/>
        <v>0</v>
      </c>
      <c r="P41" s="209">
        <f t="shared" si="1"/>
        <v>0</v>
      </c>
    </row>
    <row r="42" spans="1:17">
      <c r="B42" s="175" t="s">
        <v>4</v>
      </c>
      <c r="C42" s="176" t="s">
        <v>59</v>
      </c>
      <c r="D42" s="177" t="s">
        <v>29</v>
      </c>
      <c r="F42" s="246">
        <f>AuxOPEXCustoUnit!U43</f>
        <v>1</v>
      </c>
      <c r="G42" s="209">
        <f>AuxOPEXCustoUnit!V43</f>
        <v>1</v>
      </c>
      <c r="H42" s="209">
        <f>AuxOPEXCustoUnit!W43</f>
        <v>1</v>
      </c>
      <c r="I42" s="209">
        <f>AuxOPEXCustoUnit!X43</f>
        <v>1</v>
      </c>
      <c r="K42" s="212">
        <f>AuxOPEXCustoUnit!AH43</f>
        <v>0</v>
      </c>
      <c r="M42" s="209">
        <f t="shared" si="1"/>
        <v>0</v>
      </c>
      <c r="N42" s="209">
        <f t="shared" si="1"/>
        <v>0</v>
      </c>
      <c r="O42" s="209">
        <f t="shared" si="1"/>
        <v>0</v>
      </c>
      <c r="P42" s="209">
        <f t="shared" si="1"/>
        <v>0</v>
      </c>
      <c r="Q42" s="22"/>
    </row>
    <row r="43" spans="1:17">
      <c r="B43" s="175" t="s">
        <v>5</v>
      </c>
      <c r="C43" s="176" t="s">
        <v>59</v>
      </c>
      <c r="D43" s="177" t="s">
        <v>29</v>
      </c>
      <c r="F43" s="246">
        <f>AuxOPEXCustoUnit!U44</f>
        <v>1</v>
      </c>
      <c r="G43" s="209">
        <f>AuxOPEXCustoUnit!V44</f>
        <v>1</v>
      </c>
      <c r="H43" s="209">
        <f>AuxOPEXCustoUnit!W44</f>
        <v>1</v>
      </c>
      <c r="I43" s="209">
        <f>AuxOPEXCustoUnit!X44</f>
        <v>1</v>
      </c>
      <c r="K43" s="212">
        <f>AuxOPEXCustoUnit!AH44</f>
        <v>0</v>
      </c>
      <c r="M43" s="209">
        <f t="shared" si="1"/>
        <v>0</v>
      </c>
      <c r="N43" s="209">
        <f t="shared" si="1"/>
        <v>0</v>
      </c>
      <c r="O43" s="209">
        <f t="shared" si="1"/>
        <v>0</v>
      </c>
      <c r="P43" s="209">
        <f t="shared" si="1"/>
        <v>0</v>
      </c>
    </row>
    <row r="44" spans="1:17" hidden="1">
      <c r="B44" s="175" t="s">
        <v>18</v>
      </c>
      <c r="C44" s="176" t="s">
        <v>59</v>
      </c>
      <c r="D44" s="177" t="s">
        <v>29</v>
      </c>
      <c r="F44" s="246">
        <f>AuxOPEXCustoUnit!U45</f>
        <v>1</v>
      </c>
      <c r="G44" s="209">
        <f>AuxOPEXCustoUnit!V45</f>
        <v>1</v>
      </c>
      <c r="H44" s="209">
        <f>AuxOPEXCustoUnit!W45</f>
        <v>1</v>
      </c>
      <c r="I44" s="209">
        <f>AuxOPEXCustoUnit!X45</f>
        <v>1</v>
      </c>
      <c r="K44" s="212">
        <f>AuxOPEXCustoUnit!AH45</f>
        <v>0</v>
      </c>
      <c r="M44" s="209">
        <f t="shared" si="1"/>
        <v>0</v>
      </c>
      <c r="N44" s="209">
        <f t="shared" si="1"/>
        <v>0</v>
      </c>
      <c r="O44" s="209">
        <f t="shared" si="1"/>
        <v>0</v>
      </c>
      <c r="P44" s="209">
        <f t="shared" si="1"/>
        <v>0</v>
      </c>
    </row>
    <row r="45" spans="1:17" ht="13.9" customHeight="1" thickBot="1">
      <c r="B45" s="178" t="s">
        <v>6</v>
      </c>
      <c r="C45" s="179" t="s">
        <v>59</v>
      </c>
      <c r="D45" s="180" t="s">
        <v>29</v>
      </c>
      <c r="F45" s="247">
        <f>AuxOPEXCustoUnit!U46</f>
        <v>1</v>
      </c>
      <c r="G45" s="210">
        <f>AuxOPEXCustoUnit!V46</f>
        <v>1</v>
      </c>
      <c r="H45" s="210">
        <f>AuxOPEXCustoUnit!W46</f>
        <v>1</v>
      </c>
      <c r="I45" s="210">
        <f>AuxOPEXCustoUnit!X46</f>
        <v>1</v>
      </c>
      <c r="K45" s="213">
        <f>AuxOPEXCustoUnit!AH46</f>
        <v>-23313108.407697678</v>
      </c>
      <c r="M45" s="210">
        <f t="shared" si="1"/>
        <v>-23313108.407697678</v>
      </c>
      <c r="N45" s="210">
        <f t="shared" si="1"/>
        <v>-23313108.407697678</v>
      </c>
      <c r="O45" s="210">
        <f t="shared" si="1"/>
        <v>-23313108.407697678</v>
      </c>
      <c r="P45" s="210">
        <f t="shared" si="1"/>
        <v>-23313108.407697678</v>
      </c>
    </row>
    <row r="46" spans="1:17" ht="17.25" thickBot="1">
      <c r="B46" s="178" t="s">
        <v>655</v>
      </c>
      <c r="C46" s="179"/>
      <c r="D46" s="180"/>
      <c r="F46" s="247"/>
      <c r="G46" s="210"/>
      <c r="H46" s="210"/>
      <c r="I46" s="210"/>
      <c r="K46" s="213"/>
      <c r="M46" s="210">
        <f>AluguéisProj!BC6+LeasingLitoralProj!J6</f>
        <v>63710910.84375117</v>
      </c>
      <c r="N46" s="210">
        <f>AluguéisProj!BC7+LeasingLitoralProj!J7</f>
        <v>86513701.564079896</v>
      </c>
      <c r="O46" s="210">
        <f>AluguéisProj!BC8+LeasingLitoralProj!J8</f>
        <v>111215883.1241052</v>
      </c>
      <c r="P46" s="210">
        <f>AluguéisProj!BC9+LeasingLitoralProj!J9</f>
        <v>124123338.18960226</v>
      </c>
    </row>
    <row r="48" spans="1:17" ht="17.25" thickBot="1"/>
    <row r="49" spans="2:19">
      <c r="B49" s="15" t="s">
        <v>272</v>
      </c>
      <c r="C49" s="172" t="s">
        <v>36</v>
      </c>
      <c r="D49" s="236" t="s">
        <v>17</v>
      </c>
      <c r="F49" s="240">
        <f>AuxOPEXDrivers!G6</f>
        <v>760242105</v>
      </c>
      <c r="G49" s="241">
        <f>AuxOPEXDrivers!H6</f>
        <v>781270596</v>
      </c>
      <c r="H49" s="241">
        <f>AuxOPEXDrivers!I6</f>
        <v>807591530</v>
      </c>
      <c r="I49" s="242">
        <f>AuxOPEXDrivers!J6</f>
        <v>816880219</v>
      </c>
      <c r="K49" s="248">
        <f>AuxOPEXCustoUnit!AH49</f>
        <v>5.1901030962079028E-7</v>
      </c>
      <c r="M49" s="245">
        <f t="shared" ref="M49:M55" si="2">$K49*F49</f>
        <v>394.57349030281136</v>
      </c>
      <c r="N49" s="208">
        <f t="shared" ref="N49:N55" si="3">$K49*G49</f>
        <v>405.48749392757935</v>
      </c>
      <c r="O49" s="208">
        <f t="shared" ref="O49:O55" si="4">$K49*H49</f>
        <v>419.14833003242774</v>
      </c>
      <c r="P49" s="208">
        <f t="shared" ref="P49:P55" si="5">$K49*I49</f>
        <v>423.96925538628898</v>
      </c>
    </row>
    <row r="50" spans="2:19">
      <c r="B50" s="15"/>
      <c r="C50" s="175" t="s">
        <v>37</v>
      </c>
      <c r="D50" s="177" t="s">
        <v>21</v>
      </c>
      <c r="F50" s="243">
        <f>AuxOPEXDrivers!G10</f>
        <v>491023486.66666663</v>
      </c>
      <c r="G50" s="239">
        <f>AuxOPEXDrivers!H10</f>
        <v>509834370</v>
      </c>
      <c r="H50" s="239">
        <f>AuxOPEXDrivers!I10</f>
        <v>526505707</v>
      </c>
      <c r="I50" s="244">
        <f>AuxOPEXDrivers!J10</f>
        <v>534936475</v>
      </c>
      <c r="K50" s="249">
        <f>AuxOPEXCustoUnit!AH50</f>
        <v>4.5699831179834559E-7</v>
      </c>
      <c r="M50" s="246">
        <f t="shared" si="2"/>
        <v>224.39690446000409</v>
      </c>
      <c r="N50" s="209">
        <f t="shared" si="3"/>
        <v>232.99344638677309</v>
      </c>
      <c r="O50" s="209">
        <f t="shared" si="4"/>
        <v>240.61221925119438</v>
      </c>
      <c r="P50" s="209">
        <f t="shared" si="5"/>
        <v>244.4650659943579</v>
      </c>
      <c r="R50" s="10"/>
      <c r="S50" s="10"/>
    </row>
    <row r="51" spans="2:19">
      <c r="C51" s="175" t="s">
        <v>38</v>
      </c>
      <c r="D51" s="177" t="s">
        <v>24</v>
      </c>
      <c r="F51" s="243">
        <f>AuxOPEXDrivers!G18</f>
        <v>372401582.66666669</v>
      </c>
      <c r="G51" s="239">
        <f>AuxOPEXDrivers!H18</f>
        <v>394878331</v>
      </c>
      <c r="H51" s="239">
        <f>AuxOPEXDrivers!I18</f>
        <v>412703751</v>
      </c>
      <c r="I51" s="244">
        <f>AuxOPEXDrivers!J18</f>
        <v>427421999</v>
      </c>
      <c r="K51" s="249">
        <f>AuxOPEXCustoUnit!AH51</f>
        <v>9.1258771830172227E-8</v>
      </c>
      <c r="M51" s="246">
        <f t="shared" si="2"/>
        <v>33.984911061772358</v>
      </c>
      <c r="N51" s="209">
        <f t="shared" si="3"/>
        <v>36.036111509408222</v>
      </c>
      <c r="O51" s="209">
        <f t="shared" si="4"/>
        <v>37.662837445965216</v>
      </c>
      <c r="P51" s="209">
        <f t="shared" si="5"/>
        <v>39.006006681937102</v>
      </c>
      <c r="R51" s="10"/>
    </row>
    <row r="52" spans="2:19">
      <c r="C52" s="175" t="s">
        <v>39</v>
      </c>
      <c r="D52" s="177" t="s">
        <v>26</v>
      </c>
      <c r="F52" s="243">
        <f>AuxOPEXDrivers!G22</f>
        <v>372401582.66666669</v>
      </c>
      <c r="G52" s="239">
        <f>AuxOPEXDrivers!H22</f>
        <v>394878331</v>
      </c>
      <c r="H52" s="239">
        <f>AuxOPEXDrivers!I22</f>
        <v>412703751</v>
      </c>
      <c r="I52" s="244">
        <f>AuxOPEXDrivers!J22</f>
        <v>427421999</v>
      </c>
      <c r="K52" s="249">
        <f>AuxOPEXCustoUnit!AH52</f>
        <v>9.1258771830172227E-8</v>
      </c>
      <c r="M52" s="246">
        <f t="shared" si="2"/>
        <v>33.984911061772358</v>
      </c>
      <c r="N52" s="209">
        <f t="shared" si="3"/>
        <v>36.036111509408222</v>
      </c>
      <c r="O52" s="209">
        <f t="shared" si="4"/>
        <v>37.662837445965216</v>
      </c>
      <c r="P52" s="209">
        <f t="shared" si="5"/>
        <v>39.006006681937102</v>
      </c>
      <c r="R52" s="10"/>
    </row>
    <row r="53" spans="2:19">
      <c r="C53" s="175" t="s">
        <v>27</v>
      </c>
      <c r="D53" s="177" t="s">
        <v>20</v>
      </c>
      <c r="F53" s="243">
        <f>AuxOPEXDrivers!G14</f>
        <v>3349176.1979138269</v>
      </c>
      <c r="G53" s="239">
        <f>AuxOPEXDrivers!H14</f>
        <v>3399410</v>
      </c>
      <c r="H53" s="239">
        <f>AuxOPEXDrivers!I14</f>
        <v>3454727</v>
      </c>
      <c r="I53" s="244">
        <f>AuxOPEXDrivers!J14</f>
        <v>3509988</v>
      </c>
      <c r="K53" s="249">
        <f>AuxOPEXCustoUnit!AH53</f>
        <v>0</v>
      </c>
      <c r="M53" s="246">
        <f t="shared" si="2"/>
        <v>0</v>
      </c>
      <c r="N53" s="209">
        <f t="shared" si="3"/>
        <v>0</v>
      </c>
      <c r="O53" s="209">
        <f t="shared" si="4"/>
        <v>0</v>
      </c>
      <c r="P53" s="209">
        <f t="shared" si="5"/>
        <v>0</v>
      </c>
      <c r="R53" s="10"/>
    </row>
    <row r="54" spans="2:19">
      <c r="C54" s="175" t="s">
        <v>28</v>
      </c>
      <c r="D54" s="177" t="s">
        <v>29</v>
      </c>
      <c r="F54" s="175">
        <v>1</v>
      </c>
      <c r="G54" s="176">
        <v>1</v>
      </c>
      <c r="H54" s="176">
        <v>1</v>
      </c>
      <c r="I54" s="177">
        <v>1</v>
      </c>
      <c r="K54" s="249">
        <f>AuxOPEXCustoUnit!AH54</f>
        <v>0</v>
      </c>
      <c r="M54" s="246">
        <f t="shared" si="2"/>
        <v>0</v>
      </c>
      <c r="N54" s="209">
        <f t="shared" si="3"/>
        <v>0</v>
      </c>
      <c r="O54" s="209">
        <f t="shared" si="4"/>
        <v>0</v>
      </c>
      <c r="P54" s="209">
        <f t="shared" si="5"/>
        <v>0</v>
      </c>
      <c r="R54" s="10"/>
    </row>
    <row r="55" spans="2:19" ht="17.25" thickBot="1">
      <c r="C55" s="178" t="s">
        <v>59</v>
      </c>
      <c r="D55" s="180" t="s">
        <v>29</v>
      </c>
      <c r="F55" s="178">
        <v>1</v>
      </c>
      <c r="G55" s="179">
        <v>1</v>
      </c>
      <c r="H55" s="179">
        <v>1</v>
      </c>
      <c r="I55" s="180">
        <v>1</v>
      </c>
      <c r="K55" s="250">
        <f>AuxOPEXCustoUnit!AH55</f>
        <v>0</v>
      </c>
      <c r="M55" s="247">
        <f t="shared" si="2"/>
        <v>0</v>
      </c>
      <c r="N55" s="210">
        <f t="shared" si="3"/>
        <v>0</v>
      </c>
      <c r="O55" s="210">
        <f t="shared" si="4"/>
        <v>0</v>
      </c>
      <c r="P55" s="210">
        <f t="shared" si="5"/>
        <v>0</v>
      </c>
      <c r="R55" s="10"/>
    </row>
    <row r="56" spans="2:19">
      <c r="B56" s="15" t="s">
        <v>277</v>
      </c>
      <c r="K56" s="251">
        <f>AuxOPEXCustoUnit!AH57</f>
        <v>640666.11668571434</v>
      </c>
      <c r="M56" s="251">
        <f>SUM(M49:M55)*$K$56</f>
        <v>440099321.14782667</v>
      </c>
      <c r="N56" s="251">
        <f>SUM(N49:N55)*$K$56</f>
        <v>455227335.8514114</v>
      </c>
      <c r="O56" s="251">
        <f>SUM(O49:O55)*$K$56</f>
        <v>470944836.67171574</v>
      </c>
      <c r="P56" s="251">
        <f>SUM(P49:P55)*$K$56</f>
        <v>478222874.59505719</v>
      </c>
      <c r="R56" s="10"/>
    </row>
    <row r="59" spans="2:19">
      <c r="F59" s="17" t="s">
        <v>269</v>
      </c>
      <c r="M59" s="17" t="s">
        <v>269</v>
      </c>
    </row>
    <row r="60" spans="2:19">
      <c r="F60" s="389" t="s">
        <v>11</v>
      </c>
      <c r="G60" s="390"/>
      <c r="H60" s="390"/>
      <c r="I60" s="391"/>
      <c r="M60" s="389" t="s">
        <v>12</v>
      </c>
      <c r="N60" s="390"/>
      <c r="O60" s="390"/>
      <c r="P60" s="391"/>
    </row>
    <row r="61" spans="2:19">
      <c r="N61" s="17"/>
    </row>
    <row r="62" spans="2:19">
      <c r="F62" s="16">
        <v>2017</v>
      </c>
      <c r="G62" s="16">
        <v>2018</v>
      </c>
      <c r="H62" s="16">
        <v>2019</v>
      </c>
      <c r="I62" s="195">
        <v>2020</v>
      </c>
      <c r="M62" s="16">
        <v>2021</v>
      </c>
      <c r="N62" s="16">
        <v>2022</v>
      </c>
      <c r="O62" s="16">
        <v>2023</v>
      </c>
      <c r="P62" s="16">
        <v>2024</v>
      </c>
    </row>
    <row r="63" spans="2:19">
      <c r="D63" s="17" t="s">
        <v>2</v>
      </c>
      <c r="F63" s="19">
        <f>AuxOPEXCustoUnit!N62</f>
        <v>1172957835.8532784</v>
      </c>
      <c r="G63" s="19">
        <f>AuxOPEXCustoUnit!O62</f>
        <v>1091185566.2668257</v>
      </c>
      <c r="H63" s="19">
        <f>AuxOPEXCustoUnit!P62</f>
        <v>1117353796.2153711</v>
      </c>
      <c r="I63" s="19">
        <f>AuxOPEXCustoUnit!Q62</f>
        <v>1174786345.0899999</v>
      </c>
      <c r="M63" s="10">
        <f t="shared" ref="M63:P66" si="6">SUMIF($B:$B,$D63,M:M)</f>
        <v>1137237974.8843293</v>
      </c>
      <c r="N63" s="10">
        <f t="shared" si="6"/>
        <v>1150166393.4844677</v>
      </c>
      <c r="O63" s="10">
        <f t="shared" si="6"/>
        <v>1164303090.8234487</v>
      </c>
      <c r="P63" s="10">
        <f t="shared" si="6"/>
        <v>1174726828.3690248</v>
      </c>
    </row>
    <row r="64" spans="2:19">
      <c r="D64" s="17" t="s">
        <v>3</v>
      </c>
      <c r="F64" s="19">
        <f>AuxOPEXCustoUnit!N63</f>
        <v>84517994.380491525</v>
      </c>
      <c r="G64" s="19">
        <f>AuxOPEXCustoUnit!O63</f>
        <v>78513071.07913065</v>
      </c>
      <c r="H64" s="19">
        <f>AuxOPEXCustoUnit!P63</f>
        <v>87444380.055940628</v>
      </c>
      <c r="I64" s="19">
        <f>AuxOPEXCustoUnit!Q63</f>
        <v>71400133.200000003</v>
      </c>
      <c r="M64" s="10">
        <f t="shared" si="6"/>
        <v>70756479.334037334</v>
      </c>
      <c r="N64" s="10">
        <f t="shared" si="6"/>
        <v>71611308.131887078</v>
      </c>
      <c r="O64" s="10">
        <f t="shared" si="6"/>
        <v>72552726.58754696</v>
      </c>
      <c r="P64" s="10">
        <f t="shared" si="6"/>
        <v>73285645.268495947</v>
      </c>
    </row>
    <row r="65" spans="4:16">
      <c r="D65" s="17" t="s">
        <v>4</v>
      </c>
      <c r="F65" s="19">
        <f>AuxOPEXCustoUnit!N64</f>
        <v>93482371.801189035</v>
      </c>
      <c r="G65" s="19">
        <f>AuxOPEXCustoUnit!O64</f>
        <v>86501261.795470014</v>
      </c>
      <c r="H65" s="19">
        <f>AuxOPEXCustoUnit!P64</f>
        <v>126753139.95327476</v>
      </c>
      <c r="I65" s="19">
        <f>AuxOPEXCustoUnit!Q64</f>
        <v>143969407.82999992</v>
      </c>
      <c r="M65" s="10">
        <f t="shared" si="6"/>
        <v>110262597.60595268</v>
      </c>
      <c r="N65" s="10">
        <f t="shared" si="6"/>
        <v>114724044.55013338</v>
      </c>
      <c r="O65" s="10">
        <f t="shared" si="6"/>
        <v>119113115.59811699</v>
      </c>
      <c r="P65" s="10">
        <f t="shared" si="6"/>
        <v>121638942.96764502</v>
      </c>
    </row>
    <row r="66" spans="4:16">
      <c r="D66" s="17" t="s">
        <v>5</v>
      </c>
      <c r="F66" s="19">
        <f>AuxOPEXCustoUnit!N65</f>
        <v>614135660.35768139</v>
      </c>
      <c r="G66" s="19">
        <f>AuxOPEXCustoUnit!O65</f>
        <v>639045197.22100949</v>
      </c>
      <c r="H66" s="19">
        <f>AuxOPEXCustoUnit!P65</f>
        <v>639494652.4597702</v>
      </c>
      <c r="I66" s="19">
        <f>AuxOPEXCustoUnit!Q65</f>
        <v>630003147.4600004</v>
      </c>
      <c r="M66" s="10">
        <f t="shared" si="6"/>
        <v>611133744.34553576</v>
      </c>
      <c r="N66" s="10">
        <f t="shared" si="6"/>
        <v>625235405.34482133</v>
      </c>
      <c r="O66" s="10">
        <f t="shared" si="6"/>
        <v>639408827.12207413</v>
      </c>
      <c r="P66" s="10">
        <f t="shared" si="6"/>
        <v>651475650.39017546</v>
      </c>
    </row>
    <row r="67" spans="4:16">
      <c r="D67" s="17" t="s">
        <v>18</v>
      </c>
      <c r="F67" s="19">
        <f>AuxOPEXCustoUnit!N66</f>
        <v>430308600.56827569</v>
      </c>
      <c r="G67" s="19">
        <f>AuxOPEXCustoUnit!O66</f>
        <v>463921577.2092346</v>
      </c>
      <c r="H67" s="19">
        <f>AuxOPEXCustoUnit!P66</f>
        <v>500786032.96987611</v>
      </c>
      <c r="I67" s="19">
        <f>AuxOPEXCustoUnit!Q66</f>
        <v>448466281.68000001</v>
      </c>
      <c r="M67" s="10">
        <f>M56</f>
        <v>440099321.14782667</v>
      </c>
      <c r="N67" s="10">
        <f>N56</f>
        <v>455227335.8514114</v>
      </c>
      <c r="O67" s="10">
        <f>O56</f>
        <v>470944836.67171574</v>
      </c>
      <c r="P67" s="10">
        <f>P56</f>
        <v>478222874.59505719</v>
      </c>
    </row>
    <row r="68" spans="4:16">
      <c r="D68" s="17" t="s">
        <v>6</v>
      </c>
      <c r="F68" s="19">
        <f>AuxOPEXCustoUnit!N67</f>
        <v>-21598686.870713748</v>
      </c>
      <c r="G68" s="19">
        <f>AuxOPEXCustoUnit!O67</f>
        <v>-36746092.778542086</v>
      </c>
      <c r="H68" s="19">
        <f>AuxOPEXCustoUnit!P67</f>
        <v>-63779037.583681896</v>
      </c>
      <c r="I68" s="19">
        <f>AuxOPEXCustoUnit!Q67</f>
        <v>-48391881.760000028</v>
      </c>
      <c r="M68" s="10">
        <f t="shared" ref="M68:P69" si="7">SUMIF($B:$B,$D68,M:M)</f>
        <v>-49625127.481443211</v>
      </c>
      <c r="N68" s="10">
        <f t="shared" si="7"/>
        <v>-50260058.866261669</v>
      </c>
      <c r="O68" s="10">
        <f t="shared" si="7"/>
        <v>-50941726.708234116</v>
      </c>
      <c r="P68" s="10">
        <f t="shared" si="7"/>
        <v>-51526429.193831511</v>
      </c>
    </row>
    <row r="69" spans="4:16">
      <c r="D69" s="17" t="s">
        <v>655</v>
      </c>
      <c r="F69" s="19"/>
      <c r="G69" s="19"/>
      <c r="H69" s="19"/>
      <c r="I69" s="19"/>
      <c r="M69" s="10">
        <f t="shared" si="7"/>
        <v>63710910.84375117</v>
      </c>
      <c r="N69" s="10">
        <f t="shared" si="7"/>
        <v>86513701.564079896</v>
      </c>
      <c r="O69" s="10">
        <f t="shared" si="7"/>
        <v>111215883.1241052</v>
      </c>
      <c r="P69" s="10">
        <f t="shared" si="7"/>
        <v>124123338.18960226</v>
      </c>
    </row>
    <row r="70" spans="4:16">
      <c r="D70" s="15" t="s">
        <v>7</v>
      </c>
      <c r="F70" s="20">
        <f>SUM(F63:F68)</f>
        <v>2373803776.0902019</v>
      </c>
      <c r="G70" s="20">
        <f>SUM(G63:G68)</f>
        <v>2322420580.7931285</v>
      </c>
      <c r="H70" s="20">
        <f>SUM(H63:H68)</f>
        <v>2408052964.0705509</v>
      </c>
      <c r="I70" s="20">
        <f>SUM(I63:I68)</f>
        <v>2420233433.5</v>
      </c>
      <c r="M70" s="21">
        <f>SUM(M63:M69)</f>
        <v>2383575900.6799893</v>
      </c>
      <c r="N70" s="21">
        <f>SUM(N63:N69)</f>
        <v>2453218130.0605392</v>
      </c>
      <c r="O70" s="21">
        <f>SUM(O63:O69)</f>
        <v>2526596753.2187734</v>
      </c>
      <c r="P70" s="21">
        <f>SUM(P63:P69)</f>
        <v>2571946850.5861692</v>
      </c>
    </row>
  </sheetData>
  <mergeCells count="2">
    <mergeCell ref="M60:P60"/>
    <mergeCell ref="F60:I6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AlugueisReal</vt:lpstr>
      <vt:lpstr>AluguéisProj</vt:lpstr>
      <vt:lpstr>LeasingLitoralRal</vt:lpstr>
      <vt:lpstr>LeasingLitoralProj</vt:lpstr>
      <vt:lpstr>AuxOPEXSaneparOriginal</vt:lpstr>
      <vt:lpstr>AuxOPEXGlosas</vt:lpstr>
      <vt:lpstr>AuxOPEXDrivers</vt:lpstr>
      <vt:lpstr>AuxOPEXCustoUnit</vt:lpstr>
      <vt:lpstr>AuxOPEXProj</vt:lpstr>
      <vt:lpstr>OPEX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Marília Strapasson de Souza</dc:creator>
  <cp:lastModifiedBy>DRE</cp:lastModifiedBy>
  <dcterms:created xsi:type="dcterms:W3CDTF">2021-12-21T20:16:52Z</dcterms:created>
  <dcterms:modified xsi:type="dcterms:W3CDTF">2022-09-27T18:52:18Z</dcterms:modified>
</cp:coreProperties>
</file>