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LRM\Downloads\3-Audiência Pública-Planilhas\3-Audiência Pública\"/>
    </mc:Choice>
  </mc:AlternateContent>
  <xr:revisionPtr revIDLastSave="0" documentId="13_ncr:1_{8CCD8D0C-F3AE-4E05-98A7-A6C6AF64035C}" xr6:coauthVersionLast="46" xr6:coauthVersionMax="46" xr10:uidLastSave="{00000000-0000-0000-0000-000000000000}"/>
  <bookViews>
    <workbookView xWindow="-120" yWindow="-120" windowWidth="20730" windowHeight="11160" activeTab="4" xr2:uid="{00000000-000D-0000-FFFF-FFFF00000000}"/>
  </bookViews>
  <sheets>
    <sheet name="I-OPEX 1a RTP" sheetId="1" r:id="rId1"/>
    <sheet name="I-IPCA" sheetId="2" r:id="rId2"/>
    <sheet name="I-OPEX Evolução" sheetId="5" r:id="rId3"/>
    <sheet name="A-OPEX Divergentes" sheetId="3" r:id="rId4"/>
    <sheet name="R-OPEX Atualizados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2" i="5" l="1"/>
  <c r="I142" i="5"/>
  <c r="I145" i="5" s="1"/>
  <c r="I131" i="5"/>
  <c r="I117" i="5"/>
  <c r="I111" i="5"/>
  <c r="I99" i="5"/>
  <c r="I85" i="5"/>
  <c r="I79" i="5"/>
  <c r="I67" i="5"/>
  <c r="I53" i="5"/>
  <c r="I47" i="5"/>
  <c r="I37" i="5"/>
  <c r="I34" i="5"/>
  <c r="I27" i="5"/>
  <c r="I21" i="5"/>
  <c r="I11" i="5"/>
  <c r="I8" i="5"/>
  <c r="I12" i="5" l="1"/>
  <c r="I38" i="5"/>
  <c r="B5" i="4"/>
  <c r="B4" i="4"/>
  <c r="F9" i="4" l="1"/>
  <c r="F21" i="4" l="1"/>
  <c r="B21" i="4" l="1"/>
  <c r="A21" i="4"/>
  <c r="B23" i="4"/>
  <c r="B24" i="4"/>
  <c r="B25" i="4"/>
  <c r="B26" i="4"/>
  <c r="F26" i="4" s="1"/>
  <c r="B27" i="4"/>
  <c r="B22" i="4"/>
  <c r="B11" i="4"/>
  <c r="B12" i="4"/>
  <c r="B13" i="4"/>
  <c r="B14" i="4"/>
  <c r="B15" i="4"/>
  <c r="B16" i="4"/>
  <c r="B17" i="4"/>
  <c r="B10" i="4"/>
  <c r="C8" i="3"/>
  <c r="C7" i="3"/>
  <c r="C6" i="3"/>
  <c r="C5" i="3"/>
  <c r="C9" i="3" s="1"/>
  <c r="E11" i="4" l="1"/>
  <c r="F11" i="4"/>
  <c r="E10" i="4"/>
  <c r="F10" i="4"/>
  <c r="E14" i="4"/>
  <c r="F14" i="4"/>
  <c r="E22" i="4"/>
  <c r="F22" i="4"/>
  <c r="E24" i="4"/>
  <c r="F24" i="4"/>
  <c r="E17" i="4"/>
  <c r="F17" i="4"/>
  <c r="E13" i="4"/>
  <c r="F13" i="4"/>
  <c r="E27" i="4"/>
  <c r="F27" i="4"/>
  <c r="E23" i="4"/>
  <c r="F23" i="4"/>
  <c r="E15" i="4"/>
  <c r="F15" i="4"/>
  <c r="E25" i="4"/>
  <c r="F25" i="4"/>
  <c r="E16" i="4"/>
  <c r="F16" i="4"/>
  <c r="E12" i="4"/>
  <c r="F12" i="4"/>
  <c r="B18" i="4"/>
  <c r="B28" i="4"/>
  <c r="D9" i="3"/>
  <c r="F28" i="4" l="1"/>
  <c r="E18" i="4"/>
  <c r="F18" i="4"/>
  <c r="D56" i="5"/>
  <c r="D57" i="5" s="1"/>
  <c r="C56" i="5"/>
  <c r="C57" i="5" s="1"/>
  <c r="D55" i="5"/>
  <c r="C55" i="5"/>
  <c r="E55" i="5" s="1"/>
  <c r="C54" i="5"/>
  <c r="D53" i="5"/>
  <c r="D54" i="5" s="1"/>
  <c r="C53" i="5"/>
  <c r="E53" i="5" s="1"/>
  <c r="D52" i="5"/>
  <c r="C52" i="5"/>
  <c r="D51" i="5"/>
  <c r="C51" i="5"/>
  <c r="D44" i="5"/>
  <c r="D45" i="5" s="1"/>
  <c r="C44" i="5"/>
  <c r="C45" i="5" s="1"/>
  <c r="D43" i="5"/>
  <c r="C43" i="5"/>
  <c r="D41" i="5"/>
  <c r="D42" i="5" s="1"/>
  <c r="C41" i="5"/>
  <c r="C42" i="5" s="1"/>
  <c r="D40" i="5"/>
  <c r="C40" i="5"/>
  <c r="D39" i="5"/>
  <c r="C39" i="5"/>
  <c r="D33" i="5"/>
  <c r="C33" i="5"/>
  <c r="D32" i="5"/>
  <c r="C32" i="5"/>
  <c r="D30" i="5"/>
  <c r="D31" i="5" s="1"/>
  <c r="C30" i="5"/>
  <c r="D29" i="5"/>
  <c r="C29" i="5"/>
  <c r="D28" i="5"/>
  <c r="C28" i="5"/>
  <c r="D22" i="5"/>
  <c r="C22" i="5"/>
  <c r="D21" i="5"/>
  <c r="C21" i="5"/>
  <c r="E21" i="5" s="1"/>
  <c r="D19" i="5"/>
  <c r="D20" i="5" s="1"/>
  <c r="C19" i="5"/>
  <c r="C20" i="5" s="1"/>
  <c r="D18" i="5"/>
  <c r="C18" i="5"/>
  <c r="B6" i="3" s="1"/>
  <c r="D17" i="5"/>
  <c r="C17" i="5"/>
  <c r="D11" i="5"/>
  <c r="C11" i="5"/>
  <c r="E11" i="5" s="1"/>
  <c r="D10" i="5"/>
  <c r="C10" i="5"/>
  <c r="D8" i="5"/>
  <c r="C8" i="5"/>
  <c r="C9" i="5" s="1"/>
  <c r="D7" i="5"/>
  <c r="C7" i="5"/>
  <c r="D6" i="5"/>
  <c r="C6" i="5"/>
  <c r="E17" i="5" l="1"/>
  <c r="B5" i="3"/>
  <c r="B9" i="3" s="1"/>
  <c r="B7" i="3"/>
  <c r="E22" i="5"/>
  <c r="B8" i="3"/>
  <c r="E54" i="5"/>
  <c r="E18" i="5"/>
  <c r="E33" i="5"/>
  <c r="E32" i="5"/>
  <c r="D34" i="5"/>
  <c r="E43" i="5"/>
  <c r="D58" i="5"/>
  <c r="D23" i="5"/>
  <c r="E29" i="5"/>
  <c r="E7" i="5"/>
  <c r="E41" i="5"/>
  <c r="C58" i="5"/>
  <c r="C46" i="5"/>
  <c r="E52" i="5"/>
  <c r="E57" i="5"/>
  <c r="E10" i="5"/>
  <c r="E40" i="5"/>
  <c r="E42" i="5"/>
  <c r="C12" i="5"/>
  <c r="E45" i="5"/>
  <c r="E20" i="5"/>
  <c r="C23" i="5"/>
  <c r="D46" i="5"/>
  <c r="E44" i="5"/>
  <c r="E56" i="5"/>
  <c r="E39" i="5"/>
  <c r="E51" i="5"/>
  <c r="E6" i="5"/>
  <c r="D9" i="5"/>
  <c r="E9" i="5" s="1"/>
  <c r="E30" i="5"/>
  <c r="E8" i="5"/>
  <c r="E28" i="5"/>
  <c r="E19" i="5"/>
  <c r="C31" i="5"/>
  <c r="E31" i="5" s="1"/>
  <c r="E23" i="5" l="1"/>
  <c r="E58" i="5"/>
  <c r="E46" i="5"/>
  <c r="E34" i="5"/>
  <c r="C34" i="5"/>
  <c r="E12" i="5"/>
  <c r="D12" i="5"/>
  <c r="B3" i="4" l="1"/>
  <c r="D9" i="4" s="1"/>
  <c r="B2" i="4"/>
  <c r="D21" i="4" l="1"/>
  <c r="C27" i="4"/>
  <c r="C9" i="4"/>
  <c r="E9" i="4"/>
  <c r="C10" i="4"/>
  <c r="D25" i="4"/>
  <c r="D14" i="4"/>
  <c r="C14" i="4"/>
  <c r="C13" i="4"/>
  <c r="D13" i="4"/>
  <c r="C12" i="4"/>
  <c r="C22" i="4"/>
  <c r="C11" i="4"/>
  <c r="D22" i="4"/>
  <c r="D11" i="4"/>
  <c r="D10" i="4"/>
  <c r="D23" i="4"/>
  <c r="C17" i="4"/>
  <c r="D17" i="4"/>
  <c r="C16" i="4"/>
  <c r="D27" i="4"/>
  <c r="D16" i="4"/>
  <c r="C25" i="4"/>
  <c r="C24" i="4"/>
  <c r="D24" i="4"/>
  <c r="C23" i="4"/>
  <c r="D12" i="4"/>
  <c r="C26" i="4"/>
  <c r="C15" i="4"/>
  <c r="D26" i="4"/>
  <c r="D15" i="4"/>
  <c r="E26" i="4"/>
  <c r="E28" i="4" s="1"/>
  <c r="C21" i="4" l="1"/>
  <c r="E21" i="4"/>
  <c r="D28" i="4"/>
  <c r="C28" i="4"/>
  <c r="C18" i="4"/>
  <c r="D18" i="4"/>
</calcChain>
</file>

<file path=xl/sharedStrings.xml><?xml version="1.0" encoding="utf-8"?>
<sst xmlns="http://schemas.openxmlformats.org/spreadsheetml/2006/main" count="339" uniqueCount="93">
  <si>
    <t>Custo de Pessoal (Água)</t>
  </si>
  <si>
    <t>Custo de Pessoal (Esgoto)</t>
  </si>
  <si>
    <t>Custo de Materiais (Água)</t>
  </si>
  <si>
    <t>Custo de Materiais (Esgoto)</t>
  </si>
  <si>
    <t>Custo de Serviços de Terceiros (Água)</t>
  </si>
  <si>
    <t>Custo de Serviços de Terceiros (Esgoto)</t>
  </si>
  <si>
    <t>Outros Custos (Água)</t>
  </si>
  <si>
    <t>Outros Custos (Esgoto)</t>
  </si>
  <si>
    <t>Custo Operacional Anual (R$)</t>
  </si>
  <si>
    <t>Custo Administração (Água)</t>
  </si>
  <si>
    <t>Custo Administração (Esgoto)</t>
  </si>
  <si>
    <t>Gestão Comercial (Água)</t>
  </si>
  <si>
    <t>Gestão Comercial (Esgoto)</t>
  </si>
  <si>
    <t>Custo O&amp;M (Água)</t>
  </si>
  <si>
    <t>Custo O&amp;M (Esgoto)</t>
  </si>
  <si>
    <t>2016</t>
  </si>
  <si>
    <t>Descrição</t>
  </si>
  <si>
    <t>Pessoal</t>
  </si>
  <si>
    <t>Materiais</t>
  </si>
  <si>
    <t>Serviços de Terceiros</t>
  </si>
  <si>
    <t>Outros Custos</t>
  </si>
  <si>
    <t>Totais</t>
  </si>
  <si>
    <t>SNIS</t>
  </si>
  <si>
    <t>ANO</t>
  </si>
  <si>
    <t>MÊS</t>
  </si>
  <si>
    <t>NÚMERO ÍNDICE</t>
  </si>
  <si>
    <t>(DEZ 93 = 100)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</si>
  <si>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</si>
  <si>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</si>
  <si>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</si>
  <si>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</si>
  <si>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</si>
  <si>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</si>
  <si>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</si>
  <si>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</si>
  <si>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</si>
  <si>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</si>
  <si>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</si>
  <si>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</si>
  <si>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Sistema Nacional de Índices de Preços ao Consumidor.</t>
  </si>
  <si>
    <t>1ª RTP</t>
  </si>
  <si>
    <t>Enviados Memo 035/2020 Protocolado  17.107.117-8</t>
  </si>
  <si>
    <t>IPCA (Ano -base = 2016)</t>
  </si>
  <si>
    <r>
      <t xml:space="preserve">Fonte: </t>
    </r>
    <r>
      <rPr>
        <i/>
        <sz val="11"/>
        <color theme="1"/>
        <rFont val="Calibri"/>
        <family val="2"/>
        <scheme val="minor"/>
      </rPr>
      <t xml:space="preserve">IBGE, Diretoria de Pesquisas, Coordenação de Índices de Preços, </t>
    </r>
  </si>
  <si>
    <t>Água</t>
  </si>
  <si>
    <t>Esgoto</t>
  </si>
  <si>
    <t>Água e Esgoto</t>
  </si>
  <si>
    <t>Energia Elétrica</t>
  </si>
  <si>
    <t>Depreciações e Amortizações</t>
  </si>
  <si>
    <t>Tabela Custos Operacionais corrigidos a partir dos dados da 1ª RTP</t>
  </si>
  <si>
    <t>CUSTOS DOS PRODUTOS E SERVIÇOS</t>
  </si>
  <si>
    <t>2015</t>
  </si>
  <si>
    <t>2017</t>
  </si>
  <si>
    <t>2018</t>
  </si>
  <si>
    <t>Indenizações por Danos a Terceiros</t>
  </si>
  <si>
    <t>2019</t>
  </si>
  <si>
    <t>Fonte: Protocolado 16.958.896-1</t>
  </si>
  <si>
    <t>CUSTOS OPERACIONAIS -Classificação 1</t>
  </si>
  <si>
    <t>CUSTOS OPERACIONAIS - Classificação 2</t>
  </si>
  <si>
    <t>CUSTOS OPERACIONAIS - Classificação 1</t>
  </si>
  <si>
    <t>Fonte: protocolado 17.107.117-8</t>
  </si>
  <si>
    <t>Fonte: 17.107.117-8, 16.958.896-1 (1a RTP) e www.SNIS.gov.br</t>
  </si>
  <si>
    <t>Índice de atualização (Base 2016)</t>
  </si>
  <si>
    <t>DESPESAS COMERCIAIS, ADMINISTRATIVAS E OUTRAS</t>
  </si>
  <si>
    <t>Adm e Comerc</t>
  </si>
  <si>
    <t>Perdas na Realização de Créditos</t>
  </si>
  <si>
    <t>Outras Despesas</t>
  </si>
  <si>
    <t>Totais das Despesas Comerciais</t>
  </si>
  <si>
    <t>Transferências para Custos e Despesas Comerciais (a)</t>
  </si>
  <si>
    <t>Despesas Capitalizadas (b)</t>
  </si>
  <si>
    <t>Totais das Despesas Administrativas</t>
  </si>
  <si>
    <t>Outras Despesas Operacionais</t>
  </si>
  <si>
    <t xml:space="preserve">Despesas  </t>
  </si>
  <si>
    <t>Baixas de Ativos</t>
  </si>
  <si>
    <t>Receitas</t>
  </si>
  <si>
    <t>Venda de Ativos</t>
  </si>
  <si>
    <t>Totais das Outras Despesas Operacionais, líquidas</t>
  </si>
  <si>
    <t>Fundo Municipal de Saneamento e Gestão Ambiental</t>
  </si>
  <si>
    <t>Programa Sanepar Rural</t>
  </si>
  <si>
    <t>Taxa de Regulação</t>
  </si>
  <si>
    <t>Despesas com Viagens</t>
  </si>
  <si>
    <t>Programas Sociais e Ambientais</t>
  </si>
  <si>
    <t>Exposições, Congressos e Eventos</t>
  </si>
  <si>
    <t>Multas Ambientais</t>
  </si>
  <si>
    <t>Ajuste a Valor Justo - Investimentos</t>
  </si>
  <si>
    <t>Ajuste a Valor Realizável Líquido de Estoque</t>
  </si>
  <si>
    <t>Perdas Eventuais ou Extraordinárias</t>
  </si>
  <si>
    <t>a) Estes valores são primeiramente registrados como despesas administrativas</t>
  </si>
  <si>
    <t xml:space="preserve"> e posteriormente transferidos para custos e despesas comerciais;</t>
  </si>
  <si>
    <t>b) Estes valores referem-se aos gastos administrativos capitalizados, por se</t>
  </si>
  <si>
    <t>relacionarem com projetos e obras em andamento, alocados diretamente pelas</t>
  </si>
  <si>
    <t>Gerências da Companhia;</t>
  </si>
  <si>
    <t>Fonte: OPEX  - protocolado 16.958.896-1 (1a RTP); IPCA (IBGE, Diretoria de Pesquisas, Coordenação de Índices de Preços). Elaboração: AGEPAR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</si>
</sst>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_(* #,##0.00_);_(* \(#,##0.00\);_(* &quot;-&quot;??_);_(@_)"/>
    <numFmt numFmtId="166" formatCode="#,##0.0000"/>
    <numFmt numFmtId="167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2F59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5280C9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9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indent="1"/>
    </xf>
    <xf numFmtId="164" fontId="3" fillId="3" borderId="4" xfId="0" applyNumberFormat="1" applyFont="1" applyFill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left" vertical="center"/>
    </xf>
    <xf numFmtId="164" fontId="1" fillId="4" borderId="5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 indent="1"/>
    </xf>
    <xf numFmtId="0" fontId="12" fillId="0" borderId="0" xfId="0" applyFont="1"/>
    <xf numFmtId="0" fontId="11" fillId="6" borderId="0" xfId="0" applyFont="1" applyFill="1"/>
    <xf numFmtId="0" fontId="0" fillId="0" borderId="8" xfId="0" applyFill="1" applyBorder="1"/>
    <xf numFmtId="0" fontId="13" fillId="0" borderId="0" xfId="2" applyFont="1"/>
    <xf numFmtId="0" fontId="4" fillId="0" borderId="0" xfId="2"/>
    <xf numFmtId="0" fontId="4" fillId="0" borderId="15" xfId="2" applyFont="1" applyBorder="1"/>
    <xf numFmtId="4" fontId="4" fillId="0" borderId="0" xfId="2" applyNumberFormat="1"/>
    <xf numFmtId="0" fontId="4" fillId="0" borderId="0" xfId="2" applyFont="1"/>
    <xf numFmtId="0" fontId="13" fillId="0" borderId="17" xfId="2" applyFont="1" applyBorder="1"/>
    <xf numFmtId="0" fontId="4" fillId="0" borderId="12" xfId="2" applyFont="1" applyBorder="1"/>
    <xf numFmtId="0" fontId="4" fillId="0" borderId="15" xfId="2" applyFont="1" applyBorder="1" applyAlignment="1">
      <alignment horizontal="left" vertical="center"/>
    </xf>
    <xf numFmtId="0" fontId="15" fillId="9" borderId="10" xfId="2" applyFont="1" applyFill="1" applyBorder="1" applyAlignment="1">
      <alignment horizontal="center" vertical="center" wrapText="1"/>
    </xf>
    <xf numFmtId="0" fontId="15" fillId="9" borderId="11" xfId="2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4" fillId="0" borderId="0" xfId="2" applyAlignment="1">
      <alignment vertical="center" wrapText="1"/>
    </xf>
    <xf numFmtId="0" fontId="4" fillId="0" borderId="17" xfId="2" applyFont="1" applyBorder="1"/>
    <xf numFmtId="165" fontId="16" fillId="0" borderId="13" xfId="3" applyNumberFormat="1" applyFont="1" applyFill="1" applyBorder="1"/>
    <xf numFmtId="165" fontId="16" fillId="0" borderId="14" xfId="3" applyNumberFormat="1" applyFont="1" applyFill="1" applyBorder="1"/>
    <xf numFmtId="165" fontId="14" fillId="8" borderId="14" xfId="3" applyNumberFormat="1" applyFont="1" applyFill="1" applyBorder="1"/>
    <xf numFmtId="165" fontId="16" fillId="0" borderId="6" xfId="3" applyNumberFormat="1" applyFont="1" applyFill="1" applyBorder="1"/>
    <xf numFmtId="165" fontId="16" fillId="0" borderId="16" xfId="3" applyNumberFormat="1" applyFont="1" applyFill="1" applyBorder="1"/>
    <xf numFmtId="165" fontId="14" fillId="8" borderId="16" xfId="3" applyNumberFormat="1" applyFont="1" applyFill="1" applyBorder="1"/>
    <xf numFmtId="165" fontId="14" fillId="0" borderId="7" xfId="3" applyNumberFormat="1" applyFont="1" applyFill="1" applyBorder="1"/>
    <xf numFmtId="165" fontId="14" fillId="8" borderId="7" xfId="3" applyNumberFormat="1" applyFont="1" applyFill="1" applyBorder="1"/>
    <xf numFmtId="43" fontId="4" fillId="0" borderId="0" xfId="5" applyFont="1"/>
    <xf numFmtId="43" fontId="16" fillId="0" borderId="13" xfId="5" applyFont="1" applyFill="1" applyBorder="1"/>
    <xf numFmtId="43" fontId="16" fillId="0" borderId="14" xfId="5" applyFont="1" applyFill="1" applyBorder="1"/>
    <xf numFmtId="43" fontId="14" fillId="8" borderId="14" xfId="5" applyFont="1" applyFill="1" applyBorder="1"/>
    <xf numFmtId="43" fontId="16" fillId="0" borderId="6" xfId="5" applyFont="1" applyFill="1" applyBorder="1"/>
    <xf numFmtId="43" fontId="16" fillId="0" borderId="16" xfId="5" applyFont="1" applyFill="1" applyBorder="1"/>
    <xf numFmtId="43" fontId="14" fillId="8" borderId="16" xfId="5" applyFont="1" applyFill="1" applyBorder="1"/>
    <xf numFmtId="43" fontId="14" fillId="0" borderId="7" xfId="5" applyFont="1" applyFill="1" applyBorder="1"/>
    <xf numFmtId="43" fontId="14" fillId="0" borderId="18" xfId="5" applyFont="1" applyFill="1" applyBorder="1"/>
    <xf numFmtId="43" fontId="14" fillId="8" borderId="18" xfId="5" applyFont="1" applyFill="1" applyBorder="1"/>
    <xf numFmtId="165" fontId="14" fillId="0" borderId="18" xfId="3" applyNumberFormat="1" applyFont="1" applyFill="1" applyBorder="1"/>
    <xf numFmtId="165" fontId="14" fillId="8" borderId="18" xfId="3" applyNumberFormat="1" applyFont="1" applyFill="1" applyBorder="1"/>
    <xf numFmtId="4" fontId="0" fillId="0" borderId="0" xfId="0" applyNumberFormat="1"/>
    <xf numFmtId="0" fontId="8" fillId="0" borderId="8" xfId="2" applyFont="1" applyFill="1" applyBorder="1"/>
    <xf numFmtId="14" fontId="15" fillId="5" borderId="1" xfId="2" quotePrefix="1" applyNumberFormat="1" applyFont="1" applyFill="1" applyBorder="1" applyAlignment="1">
      <alignment horizontal="center"/>
    </xf>
    <xf numFmtId="14" fontId="15" fillId="5" borderId="9" xfId="2" quotePrefix="1" applyNumberFormat="1" applyFont="1" applyFill="1" applyBorder="1" applyAlignment="1">
      <alignment horizontal="center"/>
    </xf>
    <xf numFmtId="43" fontId="4" fillId="0" borderId="19" xfId="5" applyFont="1" applyFill="1" applyBorder="1"/>
    <xf numFmtId="43" fontId="14" fillId="0" borderId="20" xfId="5" applyFont="1" applyFill="1" applyBorder="1"/>
    <xf numFmtId="43" fontId="4" fillId="0" borderId="21" xfId="5" applyFont="1" applyFill="1" applyBorder="1"/>
    <xf numFmtId="43" fontId="13" fillId="0" borderId="19" xfId="5" applyFont="1" applyFill="1" applyBorder="1"/>
    <xf numFmtId="0" fontId="13" fillId="0" borderId="12" xfId="2" applyFont="1" applyBorder="1"/>
    <xf numFmtId="43" fontId="16" fillId="0" borderId="22" xfId="5" applyFont="1" applyFill="1" applyBorder="1"/>
    <xf numFmtId="0" fontId="13" fillId="0" borderId="15" xfId="2" applyFont="1" applyBorder="1"/>
    <xf numFmtId="43" fontId="16" fillId="0" borderId="21" xfId="5" applyFont="1" applyFill="1" applyBorder="1"/>
    <xf numFmtId="0" fontId="4" fillId="0" borderId="0" xfId="2" applyBorder="1"/>
    <xf numFmtId="0" fontId="13" fillId="0" borderId="0" xfId="2" applyFont="1" applyFill="1" applyBorder="1"/>
    <xf numFmtId="167" fontId="0" fillId="0" borderId="0" xfId="3" applyNumberFormat="1" applyFont="1" applyFill="1" applyBorder="1"/>
    <xf numFmtId="0" fontId="4" fillId="0" borderId="0" xfId="2" applyFill="1"/>
    <xf numFmtId="43" fontId="4" fillId="0" borderId="0" xfId="2" applyNumberFormat="1"/>
    <xf numFmtId="43" fontId="16" fillId="0" borderId="19" xfId="5" applyFont="1" applyFill="1" applyBorder="1"/>
    <xf numFmtId="0" fontId="17" fillId="0" borderId="0" xfId="0" applyFont="1"/>
    <xf numFmtId="43" fontId="18" fillId="0" borderId="0" xfId="5" applyFont="1"/>
    <xf numFmtId="43" fontId="0" fillId="0" borderId="0" xfId="5" applyFont="1"/>
    <xf numFmtId="0" fontId="10" fillId="7" borderId="23" xfId="0" applyFont="1" applyFill="1" applyBorder="1"/>
    <xf numFmtId="0" fontId="0" fillId="0" borderId="23" xfId="0" applyBorder="1"/>
    <xf numFmtId="0" fontId="0" fillId="10" borderId="23" xfId="0" applyFill="1" applyBorder="1"/>
    <xf numFmtId="0" fontId="6" fillId="7" borderId="23" xfId="0" applyFont="1" applyFill="1" applyBorder="1" applyAlignment="1">
      <alignment horizontal="center" wrapText="1"/>
    </xf>
    <xf numFmtId="0" fontId="6" fillId="7" borderId="23" xfId="0" applyFont="1" applyFill="1" applyBorder="1" applyAlignment="1">
      <alignment horizontal="center" vertical="center"/>
    </xf>
    <xf numFmtId="0" fontId="8" fillId="0" borderId="23" xfId="2" applyFont="1" applyBorder="1"/>
    <xf numFmtId="3" fontId="5" fillId="0" borderId="23" xfId="0" applyNumberFormat="1" applyFont="1" applyBorder="1"/>
    <xf numFmtId="0" fontId="7" fillId="2" borderId="23" xfId="2" applyFont="1" applyFill="1" applyBorder="1"/>
    <xf numFmtId="3" fontId="7" fillId="2" borderId="23" xfId="0" applyNumberFormat="1" applyFont="1" applyFill="1" applyBorder="1"/>
    <xf numFmtId="0" fontId="11" fillId="7" borderId="23" xfId="0" applyFont="1" applyFill="1" applyBorder="1" applyAlignment="1"/>
    <xf numFmtId="0" fontId="11" fillId="7" borderId="23" xfId="0" applyFont="1" applyFill="1" applyBorder="1"/>
    <xf numFmtId="166" fontId="0" fillId="0" borderId="23" xfId="0" applyNumberFormat="1" applyBorder="1"/>
    <xf numFmtId="3" fontId="0" fillId="0" borderId="23" xfId="0" applyNumberFormat="1" applyBorder="1"/>
    <xf numFmtId="3" fontId="10" fillId="7" borderId="23" xfId="0" applyNumberFormat="1" applyFont="1" applyFill="1" applyBorder="1"/>
    <xf numFmtId="3" fontId="0" fillId="10" borderId="23" xfId="0" applyNumberFormat="1" applyFill="1" applyBorder="1"/>
    <xf numFmtId="14" fontId="15" fillId="5" borderId="1" xfId="2" quotePrefix="1" applyNumberFormat="1" applyFont="1" applyFill="1" applyBorder="1" applyAlignment="1">
      <alignment horizontal="center"/>
    </xf>
    <xf numFmtId="14" fontId="15" fillId="5" borderId="9" xfId="2" applyNumberFormat="1" applyFont="1" applyFill="1" applyBorder="1" applyAlignment="1">
      <alignment horizontal="center"/>
    </xf>
    <xf numFmtId="0" fontId="13" fillId="0" borderId="0" xfId="2" applyFont="1" applyAlignment="1">
      <alignment horizontal="justify" vertical="justify"/>
    </xf>
    <xf numFmtId="14" fontId="7" fillId="7" borderId="23" xfId="2" quotePrefix="1" applyNumberFormat="1" applyFont="1" applyFill="1" applyBorder="1" applyAlignment="1">
      <alignment horizontal="center"/>
    </xf>
    <xf numFmtId="0" fontId="5" fillId="7" borderId="23" xfId="0" applyFont="1" applyFill="1" applyBorder="1" applyAlignment="1">
      <alignment horizontal="center"/>
    </xf>
    <xf numFmtId="0" fontId="7" fillId="7" borderId="23" xfId="2" applyFont="1" applyFill="1" applyBorder="1" applyAlignment="1">
      <alignment horizontal="center" vertical="center" wrapText="1"/>
    </xf>
    <xf numFmtId="0" fontId="5" fillId="7" borderId="23" xfId="0" applyFont="1" applyFill="1" applyBorder="1" applyAlignment="1"/>
    <xf numFmtId="0" fontId="19" fillId="0" borderId="0" xfId="0" applyFont="1" applyFill="1" applyBorder="1" applyAlignment="1"/>
  </cellXfs>
  <cellStyles count="6">
    <cellStyle name="Normal" xfId="0" builtinId="0"/>
    <cellStyle name="Normal 4" xfId="2" xr:uid="{00000000-0005-0000-0000-000001000000}"/>
    <cellStyle name="Vírgula" xfId="5" builtinId="3"/>
    <cellStyle name="Vírgula 10" xfId="4" xr:uid="{00000000-0005-0000-0000-000004000000}"/>
    <cellStyle name="Vírgula 2" xfId="1" xr:uid="{00000000-0005-0000-0000-000005000000}"/>
    <cellStyle name="Vírgula 3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workbookViewId="0">
      <selection activeCell="A23" sqref="A23"/>
    </sheetView>
  </sheetViews>
  <sheetFormatPr defaultRowHeight="15" x14ac:dyDescent="0.25"/>
  <cols>
    <col min="1" max="1" width="33.5703125" customWidth="1"/>
    <col min="2" max="2" width="14.85546875" customWidth="1"/>
  </cols>
  <sheetData>
    <row r="1" spans="1:2" ht="15.75" thickBot="1" x14ac:dyDescent="0.3"/>
    <row r="2" spans="1:2" ht="15.75" thickBot="1" x14ac:dyDescent="0.3">
      <c r="A2" s="1" t="s">
        <v>59</v>
      </c>
      <c r="B2" s="2">
        <v>2016</v>
      </c>
    </row>
    <row r="3" spans="1:2" x14ac:dyDescent="0.25">
      <c r="A3" s="3" t="s">
        <v>0</v>
      </c>
      <c r="B3" s="4">
        <v>664916630.43999994</v>
      </c>
    </row>
    <row r="4" spans="1:2" x14ac:dyDescent="0.25">
      <c r="A4" s="3" t="s">
        <v>1</v>
      </c>
      <c r="B4" s="5">
        <v>365069317.41000003</v>
      </c>
    </row>
    <row r="5" spans="1:2" x14ac:dyDescent="0.25">
      <c r="A5" s="3" t="s">
        <v>2</v>
      </c>
      <c r="B5" s="5">
        <v>42300608.129999995</v>
      </c>
    </row>
    <row r="6" spans="1:2" x14ac:dyDescent="0.25">
      <c r="A6" s="3" t="s">
        <v>3</v>
      </c>
      <c r="B6" s="5">
        <v>23933529.449999996</v>
      </c>
    </row>
    <row r="7" spans="1:2" x14ac:dyDescent="0.25">
      <c r="A7" s="3" t="s">
        <v>4</v>
      </c>
      <c r="B7" s="5">
        <v>303371815.56319046</v>
      </c>
    </row>
    <row r="8" spans="1:2" x14ac:dyDescent="0.25">
      <c r="A8" s="3" t="s">
        <v>5</v>
      </c>
      <c r="B8" s="5">
        <v>193801451.09080952</v>
      </c>
    </row>
    <row r="9" spans="1:2" x14ac:dyDescent="0.25">
      <c r="A9" s="3" t="s">
        <v>6</v>
      </c>
      <c r="B9" s="5">
        <v>32950246.449999996</v>
      </c>
    </row>
    <row r="10" spans="1:2" x14ac:dyDescent="0.25">
      <c r="A10" s="3" t="s">
        <v>7</v>
      </c>
      <c r="B10" s="5">
        <v>22178915.660000004</v>
      </c>
    </row>
    <row r="11" spans="1:2" ht="15.75" thickBot="1" x14ac:dyDescent="0.3">
      <c r="A11" s="6" t="s">
        <v>8</v>
      </c>
      <c r="B11" s="7">
        <v>1648522514.194</v>
      </c>
    </row>
    <row r="12" spans="1:2" x14ac:dyDescent="0.25">
      <c r="A12" t="s">
        <v>56</v>
      </c>
    </row>
    <row r="13" spans="1:2" ht="15.75" thickBot="1" x14ac:dyDescent="0.3"/>
    <row r="14" spans="1:2" ht="15.75" thickBot="1" x14ac:dyDescent="0.3">
      <c r="A14" s="1" t="s">
        <v>58</v>
      </c>
      <c r="B14" s="2">
        <v>2016</v>
      </c>
    </row>
    <row r="15" spans="1:2" x14ac:dyDescent="0.25">
      <c r="A15" s="3" t="s">
        <v>9</v>
      </c>
      <c r="B15" s="4">
        <v>499794014.88341945</v>
      </c>
    </row>
    <row r="16" spans="1:2" x14ac:dyDescent="0.25">
      <c r="A16" s="3" t="s">
        <v>10</v>
      </c>
      <c r="B16" s="5">
        <v>289751415.3023653</v>
      </c>
    </row>
    <row r="17" spans="1:2" x14ac:dyDescent="0.25">
      <c r="A17" s="3" t="s">
        <v>11</v>
      </c>
      <c r="B17" s="5">
        <v>113475989.06364654</v>
      </c>
    </row>
    <row r="18" spans="1:2" x14ac:dyDescent="0.25">
      <c r="A18" s="3" t="s">
        <v>12</v>
      </c>
      <c r="B18" s="5">
        <v>65786759.054521225</v>
      </c>
    </row>
    <row r="19" spans="1:2" x14ac:dyDescent="0.25">
      <c r="A19" s="8" t="s">
        <v>13</v>
      </c>
      <c r="B19" s="5">
        <v>430269296.63612443</v>
      </c>
    </row>
    <row r="20" spans="1:2" x14ac:dyDescent="0.25">
      <c r="A20" s="8" t="s">
        <v>14</v>
      </c>
      <c r="B20" s="5">
        <v>249445039.25392291</v>
      </c>
    </row>
    <row r="21" spans="1:2" ht="15.75" thickBot="1" x14ac:dyDescent="0.3">
      <c r="A21" s="6" t="s">
        <v>8</v>
      </c>
      <c r="B21" s="7">
        <v>1648522514.194</v>
      </c>
    </row>
    <row r="22" spans="1:2" x14ac:dyDescent="0.25">
      <c r="A22" t="s">
        <v>56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66"/>
  <sheetViews>
    <sheetView workbookViewId="0">
      <selection activeCell="D73" sqref="D73"/>
    </sheetView>
  </sheetViews>
  <sheetFormatPr defaultRowHeight="15" x14ac:dyDescent="0.25"/>
  <cols>
    <col min="3" max="3" width="16.42578125" customWidth="1"/>
  </cols>
  <sheetData>
    <row r="2" spans="1:3" x14ac:dyDescent="0.25">
      <c r="A2" s="10" t="s">
        <v>23</v>
      </c>
      <c r="B2" s="10" t="s">
        <v>24</v>
      </c>
      <c r="C2" s="10" t="s">
        <v>25</v>
      </c>
    </row>
    <row r="3" spans="1:3" x14ac:dyDescent="0.25">
      <c r="C3" t="s">
        <v>26</v>
      </c>
    </row>
    <row r="4" spans="1:3" x14ac:dyDescent="0.25">
      <c r="A4">
        <v>2016</v>
      </c>
      <c r="B4" t="s">
        <v>27</v>
      </c>
      <c r="C4">
        <v>4550.2299999999996</v>
      </c>
    </row>
    <row r="5" spans="1:3" x14ac:dyDescent="0.25">
      <c r="B5" t="s">
        <v>28</v>
      </c>
      <c r="C5">
        <v>4591.18</v>
      </c>
    </row>
    <row r="6" spans="1:3" x14ac:dyDescent="0.25">
      <c r="B6" t="s">
        <v>29</v>
      </c>
      <c r="C6">
        <v>4610.92</v>
      </c>
    </row>
    <row r="7" spans="1:3" x14ac:dyDescent="0.25">
      <c r="B7" t="s">
        <v>30</v>
      </c>
      <c r="C7">
        <v>4639.05</v>
      </c>
    </row>
    <row r="8" spans="1:3" x14ac:dyDescent="0.25">
      <c r="B8" t="s">
        <v>31</v>
      </c>
      <c r="C8">
        <v>4675.2299999999996</v>
      </c>
    </row>
    <row r="9" spans="1:3" x14ac:dyDescent="0.25">
      <c r="B9" t="s">
        <v>32</v>
      </c>
      <c r="C9">
        <v>4691.59</v>
      </c>
    </row>
    <row r="10" spans="1:3" x14ac:dyDescent="0.25">
      <c r="B10" t="s">
        <v>33</v>
      </c>
      <c r="C10">
        <v>4715.99</v>
      </c>
    </row>
    <row r="11" spans="1:3" x14ac:dyDescent="0.25">
      <c r="B11" t="s">
        <v>34</v>
      </c>
      <c r="C11">
        <v>4736.74</v>
      </c>
    </row>
    <row r="12" spans="1:3" x14ac:dyDescent="0.25">
      <c r="B12" t="s">
        <v>35</v>
      </c>
      <c r="C12">
        <v>4740.53</v>
      </c>
    </row>
    <row r="13" spans="1:3" x14ac:dyDescent="0.25">
      <c r="B13" t="s">
        <v>36</v>
      </c>
      <c r="C13">
        <v>4752.8599999999997</v>
      </c>
    </row>
    <row r="14" spans="1:3" x14ac:dyDescent="0.25">
      <c r="B14" t="s">
        <v>37</v>
      </c>
      <c r="C14">
        <v>4761.42</v>
      </c>
    </row>
    <row r="15" spans="1:3" x14ac:dyDescent="0.25">
      <c r="B15" t="s">
        <v>38</v>
      </c>
      <c r="C15">
        <v>4775.7</v>
      </c>
    </row>
    <row r="16" spans="1:3" x14ac:dyDescent="0.25">
      <c r="A16">
        <v>2017</v>
      </c>
      <c r="B16" t="s">
        <v>27</v>
      </c>
      <c r="C16">
        <v>4793.8500000000004</v>
      </c>
    </row>
    <row r="17" spans="1:3" x14ac:dyDescent="0.25">
      <c r="B17" t="s">
        <v>28</v>
      </c>
      <c r="C17">
        <v>4809.67</v>
      </c>
    </row>
    <row r="18" spans="1:3" x14ac:dyDescent="0.25">
      <c r="B18" t="s">
        <v>29</v>
      </c>
      <c r="C18">
        <v>4821.6899999999996</v>
      </c>
    </row>
    <row r="19" spans="1:3" x14ac:dyDescent="0.25">
      <c r="B19" t="s">
        <v>30</v>
      </c>
      <c r="C19">
        <v>4828.4399999999996</v>
      </c>
    </row>
    <row r="20" spans="1:3" x14ac:dyDescent="0.25">
      <c r="B20" t="s">
        <v>31</v>
      </c>
      <c r="C20">
        <v>4843.41</v>
      </c>
    </row>
    <row r="21" spans="1:3" x14ac:dyDescent="0.25">
      <c r="B21" t="s">
        <v>32</v>
      </c>
      <c r="C21">
        <v>4832.2700000000004</v>
      </c>
    </row>
    <row r="22" spans="1:3" x14ac:dyDescent="0.25">
      <c r="B22" t="s">
        <v>33</v>
      </c>
      <c r="C22">
        <v>4843.87</v>
      </c>
    </row>
    <row r="23" spans="1:3" x14ac:dyDescent="0.25">
      <c r="B23" t="s">
        <v>34</v>
      </c>
      <c r="C23">
        <v>4853.07</v>
      </c>
    </row>
    <row r="24" spans="1:3" x14ac:dyDescent="0.25">
      <c r="B24" t="s">
        <v>35</v>
      </c>
      <c r="C24">
        <v>4860.83</v>
      </c>
    </row>
    <row r="25" spans="1:3" x14ac:dyDescent="0.25">
      <c r="B25" t="s">
        <v>36</v>
      </c>
      <c r="C25">
        <v>4881.25</v>
      </c>
    </row>
    <row r="26" spans="1:3" x14ac:dyDescent="0.25">
      <c r="B26" t="s">
        <v>37</v>
      </c>
      <c r="C26">
        <v>4894.92</v>
      </c>
    </row>
    <row r="27" spans="1:3" x14ac:dyDescent="0.25">
      <c r="B27" t="s">
        <v>38</v>
      </c>
      <c r="C27">
        <v>4916.46</v>
      </c>
    </row>
    <row r="28" spans="1:3" x14ac:dyDescent="0.25">
      <c r="A28">
        <v>2018</v>
      </c>
      <c r="B28" t="s">
        <v>27</v>
      </c>
      <c r="C28">
        <v>4930.72</v>
      </c>
    </row>
    <row r="29" spans="1:3" x14ac:dyDescent="0.25">
      <c r="B29" t="s">
        <v>28</v>
      </c>
      <c r="C29">
        <v>4946.5</v>
      </c>
    </row>
    <row r="30" spans="1:3" x14ac:dyDescent="0.25">
      <c r="B30" t="s">
        <v>29</v>
      </c>
      <c r="C30">
        <v>4950.95</v>
      </c>
    </row>
    <row r="31" spans="1:3" x14ac:dyDescent="0.25">
      <c r="B31" t="s">
        <v>30</v>
      </c>
      <c r="C31">
        <v>4961.84</v>
      </c>
    </row>
    <row r="32" spans="1:3" x14ac:dyDescent="0.25">
      <c r="B32" t="s">
        <v>31</v>
      </c>
      <c r="C32">
        <v>4981.6899999999996</v>
      </c>
    </row>
    <row r="33" spans="1:3" x14ac:dyDescent="0.25">
      <c r="B33" t="s">
        <v>32</v>
      </c>
      <c r="C33">
        <v>5044.46</v>
      </c>
    </row>
    <row r="34" spans="1:3" x14ac:dyDescent="0.25">
      <c r="B34" t="s">
        <v>33</v>
      </c>
      <c r="C34">
        <v>5061.1099999999997</v>
      </c>
    </row>
    <row r="35" spans="1:3" x14ac:dyDescent="0.25">
      <c r="B35" t="s">
        <v>34</v>
      </c>
      <c r="C35">
        <v>5056.5600000000004</v>
      </c>
    </row>
    <row r="36" spans="1:3" x14ac:dyDescent="0.25">
      <c r="B36" t="s">
        <v>35</v>
      </c>
      <c r="C36">
        <v>5080.83</v>
      </c>
    </row>
    <row r="37" spans="1:3" x14ac:dyDescent="0.25">
      <c r="B37" t="s">
        <v>36</v>
      </c>
      <c r="C37">
        <v>5103.6899999999996</v>
      </c>
    </row>
    <row r="38" spans="1:3" x14ac:dyDescent="0.25">
      <c r="B38" t="s">
        <v>37</v>
      </c>
      <c r="C38">
        <v>5092.97</v>
      </c>
    </row>
    <row r="39" spans="1:3" x14ac:dyDescent="0.25">
      <c r="B39" t="s">
        <v>38</v>
      </c>
      <c r="C39">
        <v>5100.6099999999997</v>
      </c>
    </row>
    <row r="40" spans="1:3" x14ac:dyDescent="0.25">
      <c r="A40">
        <v>2019</v>
      </c>
      <c r="B40" t="s">
        <v>27</v>
      </c>
      <c r="C40">
        <v>5116.93</v>
      </c>
    </row>
    <row r="41" spans="1:3" x14ac:dyDescent="0.25">
      <c r="B41" t="s">
        <v>28</v>
      </c>
      <c r="C41">
        <v>5138.93</v>
      </c>
    </row>
    <row r="42" spans="1:3" x14ac:dyDescent="0.25">
      <c r="B42" t="s">
        <v>29</v>
      </c>
      <c r="C42">
        <v>5177.47</v>
      </c>
    </row>
    <row r="43" spans="1:3" x14ac:dyDescent="0.25">
      <c r="B43" t="s">
        <v>30</v>
      </c>
      <c r="C43">
        <v>5206.9799999999996</v>
      </c>
    </row>
    <row r="44" spans="1:3" x14ac:dyDescent="0.25">
      <c r="B44" t="s">
        <v>31</v>
      </c>
      <c r="C44">
        <v>5213.75</v>
      </c>
    </row>
    <row r="45" spans="1:3" x14ac:dyDescent="0.25">
      <c r="B45" t="s">
        <v>32</v>
      </c>
      <c r="C45">
        <v>5214.2700000000004</v>
      </c>
    </row>
    <row r="46" spans="1:3" x14ac:dyDescent="0.25">
      <c r="B46" t="s">
        <v>33</v>
      </c>
      <c r="C46">
        <v>5224.18</v>
      </c>
    </row>
    <row r="47" spans="1:3" x14ac:dyDescent="0.25">
      <c r="B47" t="s">
        <v>34</v>
      </c>
      <c r="C47">
        <v>5229.93</v>
      </c>
    </row>
    <row r="48" spans="1:3" x14ac:dyDescent="0.25">
      <c r="B48" t="s">
        <v>35</v>
      </c>
      <c r="C48">
        <v>5227.84</v>
      </c>
    </row>
    <row r="49" spans="1:3" x14ac:dyDescent="0.25">
      <c r="B49" t="s">
        <v>36</v>
      </c>
      <c r="C49">
        <v>5233.07</v>
      </c>
    </row>
    <row r="50" spans="1:3" x14ac:dyDescent="0.25">
      <c r="B50" t="s">
        <v>37</v>
      </c>
      <c r="C50">
        <v>5259.76</v>
      </c>
    </row>
    <row r="51" spans="1:3" x14ac:dyDescent="0.25">
      <c r="B51" t="s">
        <v>38</v>
      </c>
      <c r="C51">
        <v>5320.25</v>
      </c>
    </row>
    <row r="53" spans="1:3" x14ac:dyDescent="0.25">
      <c r="A53">
        <v>2020</v>
      </c>
      <c r="B53" t="s">
        <v>27</v>
      </c>
      <c r="C53">
        <v>5331.42</v>
      </c>
    </row>
    <row r="54" spans="1:3" x14ac:dyDescent="0.25">
      <c r="B54" t="s">
        <v>28</v>
      </c>
      <c r="C54">
        <v>5344.75</v>
      </c>
    </row>
    <row r="55" spans="1:3" x14ac:dyDescent="0.25">
      <c r="B55" t="s">
        <v>29</v>
      </c>
      <c r="C55">
        <v>5348.49</v>
      </c>
    </row>
    <row r="56" spans="1:3" x14ac:dyDescent="0.25">
      <c r="B56" t="s">
        <v>30</v>
      </c>
      <c r="C56">
        <v>5331.91</v>
      </c>
    </row>
    <row r="57" spans="1:3" x14ac:dyDescent="0.25">
      <c r="B57" t="s">
        <v>31</v>
      </c>
      <c r="C57">
        <v>5311.65</v>
      </c>
    </row>
    <row r="58" spans="1:3" x14ac:dyDescent="0.25">
      <c r="B58" t="s">
        <v>32</v>
      </c>
      <c r="C58">
        <v>5325.46</v>
      </c>
    </row>
    <row r="59" spans="1:3" x14ac:dyDescent="0.25">
      <c r="B59" t="s">
        <v>33</v>
      </c>
      <c r="C59">
        <v>5344.63</v>
      </c>
    </row>
    <row r="60" spans="1:3" x14ac:dyDescent="0.25">
      <c r="B60" t="s">
        <v>34</v>
      </c>
      <c r="C60">
        <v>5357.46</v>
      </c>
    </row>
    <row r="61" spans="1:3" x14ac:dyDescent="0.25">
      <c r="B61" t="s">
        <v>35</v>
      </c>
      <c r="C61">
        <v>5391.75</v>
      </c>
    </row>
    <row r="62" spans="1:3" x14ac:dyDescent="0.25">
      <c r="B62" t="s">
        <v>36</v>
      </c>
      <c r="C62">
        <v>5438.12</v>
      </c>
    </row>
    <row r="63" spans="1:3" x14ac:dyDescent="0.25">
      <c r="B63" t="s">
        <v>37</v>
      </c>
      <c r="C63">
        <v>5486.52</v>
      </c>
    </row>
    <row r="64" spans="1:3" x14ac:dyDescent="0.25">
      <c r="B64" t="s">
        <v>38</v>
      </c>
      <c r="C64">
        <v>5560.59</v>
      </c>
    </row>
    <row r="65" spans="1:1" x14ac:dyDescent="0.25">
      <c r="A65" t="s">
        <v>43</v>
      </c>
    </row>
    <row r="66" spans="1:1" x14ac:dyDescent="0.25">
      <c r="A66" s="9" t="s">
        <v>39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60"/>
  <sheetViews>
    <sheetView workbookViewId="0">
      <selection activeCell="E61" sqref="E61"/>
    </sheetView>
  </sheetViews>
  <sheetFormatPr defaultRowHeight="12.75" x14ac:dyDescent="0.2"/>
  <cols>
    <col min="1" max="1" width="1.85546875" style="13" customWidth="1"/>
    <col min="2" max="2" width="47.85546875" style="13" bestFit="1" customWidth="1"/>
    <col min="3" max="3" width="16.7109375" style="13" customWidth="1"/>
    <col min="4" max="5" width="16.5703125" style="13" customWidth="1"/>
    <col min="6" max="7" width="9.140625" style="13"/>
    <col min="8" max="8" width="67" style="13" bestFit="1" customWidth="1"/>
    <col min="9" max="9" width="15" style="13" bestFit="1" customWidth="1"/>
    <col min="10" max="16384" width="9.140625" style="13"/>
  </cols>
  <sheetData>
    <row r="1" spans="2:9" x14ac:dyDescent="0.2">
      <c r="B1" s="12" t="s">
        <v>50</v>
      </c>
      <c r="H1" s="12" t="s">
        <v>63</v>
      </c>
    </row>
    <row r="2" spans="2:9" x14ac:dyDescent="0.2">
      <c r="B2" s="12"/>
      <c r="H2" s="83"/>
      <c r="I2" s="83"/>
    </row>
    <row r="3" spans="2:9" ht="13.5" thickBot="1" x14ac:dyDescent="0.25">
      <c r="H3" s="83"/>
      <c r="I3" s="83"/>
    </row>
    <row r="4" spans="2:9" ht="13.5" thickBot="1" x14ac:dyDescent="0.25">
      <c r="C4" s="81" t="s">
        <v>51</v>
      </c>
      <c r="D4" s="82"/>
      <c r="E4" s="82"/>
      <c r="I4" s="48" t="s">
        <v>51</v>
      </c>
    </row>
    <row r="5" spans="2:9" s="23" customFormat="1" ht="27.95" customHeight="1" thickBot="1" x14ac:dyDescent="0.3">
      <c r="B5" s="20" t="s">
        <v>16</v>
      </c>
      <c r="C5" s="21" t="s">
        <v>44</v>
      </c>
      <c r="D5" s="22" t="s">
        <v>45</v>
      </c>
      <c r="E5" s="22" t="s">
        <v>46</v>
      </c>
      <c r="H5" s="22" t="s">
        <v>16</v>
      </c>
      <c r="I5" s="22" t="s">
        <v>64</v>
      </c>
    </row>
    <row r="6" spans="2:9" ht="15" customHeight="1" x14ac:dyDescent="0.2">
      <c r="B6" s="18" t="s">
        <v>17</v>
      </c>
      <c r="C6" s="25">
        <f>115753390.93+112286192.35</f>
        <v>228039583.28</v>
      </c>
      <c r="D6" s="26">
        <f>27573607.09+43743390.53</f>
        <v>71316997.620000005</v>
      </c>
      <c r="E6" s="27">
        <f t="shared" ref="E6:E11" si="0">C6+D6</f>
        <v>299356580.89999998</v>
      </c>
      <c r="H6" s="14" t="s">
        <v>17</v>
      </c>
      <c r="I6" s="49">
        <v>92508290.230000004</v>
      </c>
    </row>
    <row r="7" spans="2:9" ht="15" customHeight="1" x14ac:dyDescent="0.2">
      <c r="B7" s="14" t="s">
        <v>18</v>
      </c>
      <c r="C7" s="28">
        <f>57445984.33+13442911.7</f>
        <v>70888896.030000001</v>
      </c>
      <c r="D7" s="29">
        <f>5446804.53+18863197.66</f>
        <v>24310002.190000001</v>
      </c>
      <c r="E7" s="30">
        <f t="shared" si="0"/>
        <v>95198898.219999999</v>
      </c>
      <c r="H7" s="14" t="s">
        <v>18</v>
      </c>
      <c r="I7" s="49">
        <v>3124743.8</v>
      </c>
    </row>
    <row r="8" spans="2:9" ht="15" customHeight="1" x14ac:dyDescent="0.2">
      <c r="B8" s="19" t="s">
        <v>47</v>
      </c>
      <c r="C8" s="28">
        <f>248880587.93+94016827.67</f>
        <v>342897415.60000002</v>
      </c>
      <c r="D8" s="29">
        <f>2050247.42+33028369.58</f>
        <v>35078617</v>
      </c>
      <c r="E8" s="30">
        <f t="shared" si="0"/>
        <v>377976032.60000002</v>
      </c>
      <c r="H8" s="14" t="s">
        <v>19</v>
      </c>
      <c r="I8" s="49">
        <f>200601.69+57992399.98</f>
        <v>58193001.669999994</v>
      </c>
    </row>
    <row r="9" spans="2:9" ht="15" customHeight="1" x14ac:dyDescent="0.2">
      <c r="B9" s="14" t="s">
        <v>19</v>
      </c>
      <c r="C9" s="28">
        <f>(286308742.34+232635441.22)-C8</f>
        <v>176046767.95999992</v>
      </c>
      <c r="D9" s="29">
        <f>(42727032.5+101476674.7)-D8</f>
        <v>109125090.19999999</v>
      </c>
      <c r="E9" s="30">
        <f t="shared" si="0"/>
        <v>285171858.15999991</v>
      </c>
      <c r="H9" s="14" t="s">
        <v>48</v>
      </c>
      <c r="I9" s="49">
        <v>5398817.4000000004</v>
      </c>
    </row>
    <row r="10" spans="2:9" ht="15" customHeight="1" x14ac:dyDescent="0.2">
      <c r="B10" s="14" t="s">
        <v>48</v>
      </c>
      <c r="C10" s="28">
        <f>31051633.8+60649577.43</f>
        <v>91701211.230000004</v>
      </c>
      <c r="D10" s="29">
        <f>59824608.98+20737389.18</f>
        <v>80561998.159999996</v>
      </c>
      <c r="E10" s="30">
        <f t="shared" si="0"/>
        <v>172263209.38999999</v>
      </c>
      <c r="H10" s="14" t="s">
        <v>65</v>
      </c>
      <c r="I10" s="49">
        <v>-5862150.9900000002</v>
      </c>
    </row>
    <row r="11" spans="2:9" ht="15" customHeight="1" x14ac:dyDescent="0.2">
      <c r="B11" s="14" t="s">
        <v>20</v>
      </c>
      <c r="C11" s="28">
        <f>5470095.72+3631670.03+54205376.85+14691702.07</f>
        <v>77998844.670000002</v>
      </c>
      <c r="D11" s="29">
        <f>1199669.46+1212257.88+114548.15+19882713.21</f>
        <v>22409188.699999999</v>
      </c>
      <c r="E11" s="30">
        <f t="shared" si="0"/>
        <v>100408033.37</v>
      </c>
      <c r="H11" s="14" t="s">
        <v>66</v>
      </c>
      <c r="I11" s="49">
        <f>30923902.44+18486791.48</f>
        <v>49410693.920000002</v>
      </c>
    </row>
    <row r="12" spans="2:9" ht="15" customHeight="1" thickBot="1" x14ac:dyDescent="0.25">
      <c r="B12" s="17" t="s">
        <v>21</v>
      </c>
      <c r="C12" s="31">
        <f t="shared" ref="C12:E12" si="1">SUM(C6:C11)</f>
        <v>987572718.76999998</v>
      </c>
      <c r="D12" s="31">
        <f t="shared" si="1"/>
        <v>342801893.86999995</v>
      </c>
      <c r="E12" s="32">
        <f t="shared" si="1"/>
        <v>1330374612.6399999</v>
      </c>
      <c r="H12" s="17" t="s">
        <v>67</v>
      </c>
      <c r="I12" s="50">
        <f>SUM(I6:I11)</f>
        <v>202773396.02999997</v>
      </c>
    </row>
    <row r="13" spans="2:9" x14ac:dyDescent="0.2">
      <c r="B13" s="12" t="s">
        <v>60</v>
      </c>
      <c r="C13" s="33"/>
      <c r="D13" s="33"/>
      <c r="E13" s="33"/>
      <c r="H13" s="14" t="s">
        <v>17</v>
      </c>
      <c r="I13" s="49">
        <v>540960084.63</v>
      </c>
    </row>
    <row r="14" spans="2:9" ht="13.5" thickBot="1" x14ac:dyDescent="0.25">
      <c r="H14" s="14" t="s">
        <v>18</v>
      </c>
      <c r="I14" s="49">
        <v>28800414.379999999</v>
      </c>
    </row>
    <row r="15" spans="2:9" ht="13.5" thickBot="1" x14ac:dyDescent="0.25">
      <c r="C15" s="81" t="s">
        <v>15</v>
      </c>
      <c r="D15" s="82"/>
      <c r="E15" s="82"/>
      <c r="H15" s="14" t="s">
        <v>19</v>
      </c>
      <c r="I15" s="49">
        <v>133861086.3</v>
      </c>
    </row>
    <row r="16" spans="2:9" s="23" customFormat="1" ht="27.95" customHeight="1" thickBot="1" x14ac:dyDescent="0.25">
      <c r="B16" s="20" t="s">
        <v>16</v>
      </c>
      <c r="C16" s="21" t="s">
        <v>44</v>
      </c>
      <c r="D16" s="22" t="s">
        <v>45</v>
      </c>
      <c r="E16" s="22" t="s">
        <v>46</v>
      </c>
      <c r="H16" s="14" t="s">
        <v>48</v>
      </c>
      <c r="I16" s="49">
        <v>15962705.91</v>
      </c>
    </row>
    <row r="17" spans="2:9" ht="15" customHeight="1" x14ac:dyDescent="0.2">
      <c r="B17" s="18" t="s">
        <v>17</v>
      </c>
      <c r="C17" s="25">
        <f>132486186.22+127053644.11</f>
        <v>259539830.32999998</v>
      </c>
      <c r="D17" s="26">
        <f>32705827.4+50630010.54</f>
        <v>83335837.939999998</v>
      </c>
      <c r="E17" s="27">
        <f t="shared" ref="E17:E22" si="2">C17+D17</f>
        <v>342875668.26999998</v>
      </c>
      <c r="H17" s="14" t="s">
        <v>65</v>
      </c>
      <c r="I17" s="49">
        <v>1063148.43</v>
      </c>
    </row>
    <row r="18" spans="2:9" ht="15" customHeight="1" x14ac:dyDescent="0.2">
      <c r="B18" s="14" t="s">
        <v>18</v>
      </c>
      <c r="C18" s="28">
        <f>61235006.19+14085800.67</f>
        <v>75320806.859999999</v>
      </c>
      <c r="D18" s="29">
        <f>5829871.93+19639976.19</f>
        <v>25469848.120000001</v>
      </c>
      <c r="E18" s="30">
        <f t="shared" si="2"/>
        <v>100790654.98</v>
      </c>
      <c r="H18" s="14" t="s">
        <v>66</v>
      </c>
      <c r="I18" s="49">
        <v>62287007.859999999</v>
      </c>
    </row>
    <row r="19" spans="2:9" ht="15" customHeight="1" x14ac:dyDescent="0.2">
      <c r="B19" s="19" t="s">
        <v>47</v>
      </c>
      <c r="C19" s="28">
        <f>250670010.06+94084846.16</f>
        <v>344754856.22000003</v>
      </c>
      <c r="D19" s="29">
        <f>2230144.78+34807833.06</f>
        <v>37037977.840000004</v>
      </c>
      <c r="E19" s="30">
        <f t="shared" si="2"/>
        <v>381792834.06000006</v>
      </c>
      <c r="H19" s="14" t="s">
        <v>68</v>
      </c>
      <c r="I19" s="51">
        <v>-107853073.38</v>
      </c>
    </row>
    <row r="20" spans="2:9" ht="15" customHeight="1" x14ac:dyDescent="0.2">
      <c r="B20" s="14" t="s">
        <v>19</v>
      </c>
      <c r="C20" s="28">
        <f>(286489005.87+239039579.5)-C19</f>
        <v>180773729.14999998</v>
      </c>
      <c r="D20" s="29">
        <f>(41545829.71+103941632.48)-D19</f>
        <v>108449484.34999999</v>
      </c>
      <c r="E20" s="30">
        <f t="shared" si="2"/>
        <v>289223213.5</v>
      </c>
      <c r="H20" s="14" t="s">
        <v>69</v>
      </c>
      <c r="I20" s="51">
        <v>-89464010.420000002</v>
      </c>
    </row>
    <row r="21" spans="2:9" ht="15" customHeight="1" thickBot="1" x14ac:dyDescent="0.25">
      <c r="B21" s="14" t="s">
        <v>48</v>
      </c>
      <c r="C21" s="28">
        <f>36483291.72+67092097.26</f>
        <v>103575388.97999999</v>
      </c>
      <c r="D21" s="29">
        <f>67684052.49+24314619.76</f>
        <v>91998672.25</v>
      </c>
      <c r="E21" s="30">
        <f t="shared" si="2"/>
        <v>195574061.22999999</v>
      </c>
      <c r="H21" s="17" t="s">
        <v>70</v>
      </c>
      <c r="I21" s="52">
        <f>SUM(I13:I20)</f>
        <v>585617363.70999992</v>
      </c>
    </row>
    <row r="22" spans="2:9" ht="15" customHeight="1" x14ac:dyDescent="0.2">
      <c r="B22" s="14" t="s">
        <v>20</v>
      </c>
      <c r="C22" s="28">
        <f>7083510.76+4850504.85+59097129.62+17354083.01</f>
        <v>88385228.239999995</v>
      </c>
      <c r="D22" s="29">
        <f>3160011.91+6787529.17+42357.6+22533223.77</f>
        <v>32523122.449999999</v>
      </c>
      <c r="E22" s="30">
        <f t="shared" si="2"/>
        <v>120908350.69</v>
      </c>
      <c r="H22" s="53" t="s">
        <v>71</v>
      </c>
      <c r="I22" s="54"/>
    </row>
    <row r="23" spans="2:9" ht="15" customHeight="1" thickBot="1" x14ac:dyDescent="0.25">
      <c r="B23" s="17" t="s">
        <v>21</v>
      </c>
      <c r="C23" s="31">
        <f t="shared" ref="C23:E23" si="3">SUM(C17:C22)</f>
        <v>1052349839.7800001</v>
      </c>
      <c r="D23" s="31">
        <f t="shared" si="3"/>
        <v>378814942.94999999</v>
      </c>
      <c r="E23" s="32">
        <f t="shared" si="3"/>
        <v>1431164782.73</v>
      </c>
      <c r="H23" s="55" t="s">
        <v>72</v>
      </c>
      <c r="I23" s="56"/>
    </row>
    <row r="24" spans="2:9" x14ac:dyDescent="0.2">
      <c r="B24" s="12" t="s">
        <v>60</v>
      </c>
      <c r="C24" s="33"/>
      <c r="D24" s="33"/>
      <c r="E24" s="33"/>
      <c r="H24" s="14" t="s">
        <v>73</v>
      </c>
      <c r="I24" s="51">
        <v>-12002910.199999999</v>
      </c>
    </row>
    <row r="25" spans="2:9" ht="13.5" thickBot="1" x14ac:dyDescent="0.25">
      <c r="H25" s="55" t="s">
        <v>74</v>
      </c>
      <c r="I25" s="56"/>
    </row>
    <row r="26" spans="2:9" ht="13.5" thickBot="1" x14ac:dyDescent="0.25">
      <c r="C26" s="81" t="s">
        <v>52</v>
      </c>
      <c r="D26" s="82"/>
      <c r="E26" s="82"/>
      <c r="H26" s="14" t="s">
        <v>75</v>
      </c>
      <c r="I26" s="51">
        <v>3793988.22</v>
      </c>
    </row>
    <row r="27" spans="2:9" s="23" customFormat="1" ht="13.5" thickBot="1" x14ac:dyDescent="0.25">
      <c r="B27" s="20" t="s">
        <v>16</v>
      </c>
      <c r="C27" s="21" t="s">
        <v>44</v>
      </c>
      <c r="D27" s="22" t="s">
        <v>45</v>
      </c>
      <c r="E27" s="22" t="s">
        <v>46</v>
      </c>
      <c r="H27" s="17" t="s">
        <v>76</v>
      </c>
      <c r="I27" s="50">
        <f>I24+I26</f>
        <v>-8208921.9799999986</v>
      </c>
    </row>
    <row r="28" spans="2:9" ht="15" customHeight="1" x14ac:dyDescent="0.2">
      <c r="B28" s="18" t="s">
        <v>17</v>
      </c>
      <c r="C28" s="34">
        <f>146088541.15+134608616.45</f>
        <v>280697157.60000002</v>
      </c>
      <c r="D28" s="35">
        <f>36753369.68+59027771.73</f>
        <v>95781141.409999996</v>
      </c>
      <c r="E28" s="36">
        <f t="shared" ref="E28:E33" si="4">C28+D28</f>
        <v>376478299.00999999</v>
      </c>
      <c r="H28" s="57"/>
    </row>
    <row r="29" spans="2:9" ht="15" customHeight="1" thickBot="1" x14ac:dyDescent="0.3">
      <c r="B29" s="14" t="s">
        <v>18</v>
      </c>
      <c r="C29" s="37">
        <f>65147951.25+13876933.22</f>
        <v>79024884.469999999</v>
      </c>
      <c r="D29" s="38">
        <f>5561969.94+28930319.38</f>
        <v>34492289.32</v>
      </c>
      <c r="E29" s="39">
        <f t="shared" si="4"/>
        <v>113517173.78999999</v>
      </c>
      <c r="H29" s="58"/>
      <c r="I29" s="59"/>
    </row>
    <row r="30" spans="2:9" ht="15" customHeight="1" thickBot="1" x14ac:dyDescent="0.25">
      <c r="B30" s="19" t="s">
        <v>47</v>
      </c>
      <c r="C30" s="37">
        <f>242549323.75+91557240.7</f>
        <v>334106564.44999999</v>
      </c>
      <c r="D30" s="38">
        <f>2305067.33+34151964.24</f>
        <v>36457031.57</v>
      </c>
      <c r="E30" s="39">
        <f t="shared" si="4"/>
        <v>370563596.01999998</v>
      </c>
      <c r="I30" s="48" t="s">
        <v>15</v>
      </c>
    </row>
    <row r="31" spans="2:9" ht="15" customHeight="1" thickBot="1" x14ac:dyDescent="0.25">
      <c r="B31" s="14" t="s">
        <v>19</v>
      </c>
      <c r="C31" s="37">
        <f>(285895378.09+242048751.27)-C30</f>
        <v>193837564.91000003</v>
      </c>
      <c r="D31" s="38">
        <f>(47432737.2+123907230.69)-D30</f>
        <v>134882936.31999999</v>
      </c>
      <c r="E31" s="39">
        <f t="shared" si="4"/>
        <v>328720501.23000002</v>
      </c>
      <c r="H31" s="22" t="s">
        <v>16</v>
      </c>
      <c r="I31" s="22" t="s">
        <v>64</v>
      </c>
    </row>
    <row r="32" spans="2:9" ht="15" customHeight="1" x14ac:dyDescent="0.2">
      <c r="B32" s="14" t="s">
        <v>48</v>
      </c>
      <c r="C32" s="37">
        <f>41099891.31+76468186.76</f>
        <v>117568078.07000001</v>
      </c>
      <c r="D32" s="38">
        <f>76128798.94+29507706.83</f>
        <v>105636505.77</v>
      </c>
      <c r="E32" s="39">
        <f t="shared" si="4"/>
        <v>223204583.84</v>
      </c>
      <c r="H32" s="14" t="s">
        <v>17</v>
      </c>
      <c r="I32" s="49">
        <v>104757481.98</v>
      </c>
    </row>
    <row r="33" spans="2:9" ht="15" customHeight="1" x14ac:dyDescent="0.2">
      <c r="B33" s="14" t="s">
        <v>20</v>
      </c>
      <c r="C33" s="37">
        <f>8296090.02+6311494.84+63321236.17+18324820.8</f>
        <v>96253641.829999998</v>
      </c>
      <c r="D33" s="38">
        <f>2548935.6+4454607.01+55899.67+24435303.31</f>
        <v>31494745.589999996</v>
      </c>
      <c r="E33" s="39">
        <f t="shared" si="4"/>
        <v>127748387.41999999</v>
      </c>
      <c r="H33" s="14" t="s">
        <v>18</v>
      </c>
      <c r="I33" s="49">
        <v>3497308.02</v>
      </c>
    </row>
    <row r="34" spans="2:9" ht="15" customHeight="1" thickBot="1" x14ac:dyDescent="0.25">
      <c r="B34" s="24" t="s">
        <v>21</v>
      </c>
      <c r="C34" s="40">
        <f t="shared" ref="C34:E34" si="5">SUM(C28:C33)</f>
        <v>1101487891.3300002</v>
      </c>
      <c r="D34" s="41">
        <f t="shared" si="5"/>
        <v>438744649.97999996</v>
      </c>
      <c r="E34" s="42">
        <f t="shared" si="5"/>
        <v>1540232541.3099999</v>
      </c>
      <c r="H34" s="14" t="s">
        <v>19</v>
      </c>
      <c r="I34" s="49">
        <f>136027.67+69649359.67</f>
        <v>69785387.340000004</v>
      </c>
    </row>
    <row r="35" spans="2:9" x14ac:dyDescent="0.2">
      <c r="B35" s="12" t="s">
        <v>60</v>
      </c>
      <c r="C35" s="33"/>
      <c r="D35" s="33"/>
      <c r="E35" s="33"/>
      <c r="H35" s="14" t="s">
        <v>48</v>
      </c>
      <c r="I35" s="49">
        <v>5715939.0499999998</v>
      </c>
    </row>
    <row r="36" spans="2:9" ht="13.5" thickBot="1" x14ac:dyDescent="0.25">
      <c r="H36" s="14" t="s">
        <v>65</v>
      </c>
      <c r="I36" s="49">
        <v>21889703.57</v>
      </c>
    </row>
    <row r="37" spans="2:9" ht="13.5" thickBot="1" x14ac:dyDescent="0.25">
      <c r="C37" s="81" t="s">
        <v>53</v>
      </c>
      <c r="D37" s="82"/>
      <c r="E37" s="82"/>
      <c r="H37" s="14" t="s">
        <v>66</v>
      </c>
      <c r="I37" s="49">
        <f>24091480.98+23323197.66</f>
        <v>47414678.640000001</v>
      </c>
    </row>
    <row r="38" spans="2:9" s="23" customFormat="1" ht="13.5" thickBot="1" x14ac:dyDescent="0.25">
      <c r="B38" s="20" t="s">
        <v>16</v>
      </c>
      <c r="C38" s="21" t="s">
        <v>44</v>
      </c>
      <c r="D38" s="22" t="s">
        <v>45</v>
      </c>
      <c r="E38" s="22" t="s">
        <v>46</v>
      </c>
      <c r="H38" s="17" t="s">
        <v>67</v>
      </c>
      <c r="I38" s="50">
        <f>SUM(I32:I37)</f>
        <v>253060498.60000002</v>
      </c>
    </row>
    <row r="39" spans="2:9" ht="15" customHeight="1" x14ac:dyDescent="0.2">
      <c r="B39" s="18" t="s">
        <v>17</v>
      </c>
      <c r="C39" s="25">
        <f>139608708.09+128756409.25</f>
        <v>268365117.34</v>
      </c>
      <c r="D39" s="26">
        <f>36512674.92+59763057.68</f>
        <v>96275732.599999994</v>
      </c>
      <c r="E39" s="27">
        <f t="shared" ref="E39:E45" si="6">C39+D39</f>
        <v>364640849.94</v>
      </c>
      <c r="H39" s="14" t="s">
        <v>17</v>
      </c>
      <c r="I39" s="49">
        <v>578479265.46000004</v>
      </c>
    </row>
    <row r="40" spans="2:9" ht="15" customHeight="1" x14ac:dyDescent="0.2">
      <c r="B40" s="14" t="s">
        <v>18</v>
      </c>
      <c r="C40" s="28">
        <f>57470491.46+12326219.39</f>
        <v>69796710.849999994</v>
      </c>
      <c r="D40" s="29">
        <f>5837551.41+31874017.58</f>
        <v>37711568.989999995</v>
      </c>
      <c r="E40" s="30">
        <f t="shared" si="6"/>
        <v>107508279.83999999</v>
      </c>
      <c r="H40" s="14" t="s">
        <v>18</v>
      </c>
      <c r="I40" s="49">
        <v>34529702.329999998</v>
      </c>
    </row>
    <row r="41" spans="2:9" ht="15" customHeight="1" x14ac:dyDescent="0.2">
      <c r="B41" s="19" t="s">
        <v>47</v>
      </c>
      <c r="C41" s="28">
        <f>271236784.77+104133357.92</f>
        <v>375370142.69</v>
      </c>
      <c r="D41" s="29">
        <f>2817761.26+39461534.26</f>
        <v>42279295.519999996</v>
      </c>
      <c r="E41" s="30">
        <f t="shared" si="6"/>
        <v>417649438.20999998</v>
      </c>
      <c r="H41" s="14" t="s">
        <v>19</v>
      </c>
      <c r="I41" s="49">
        <v>144520531.82999998</v>
      </c>
    </row>
    <row r="42" spans="2:9" ht="15" customHeight="1" x14ac:dyDescent="0.2">
      <c r="B42" s="14" t="s">
        <v>19</v>
      </c>
      <c r="C42" s="28">
        <f>(317684694.78+272768575.28)-C41</f>
        <v>215083127.36999995</v>
      </c>
      <c r="D42" s="29">
        <f>(46894200.16+140079252.12)-D41</f>
        <v>144694156.75999999</v>
      </c>
      <c r="E42" s="30">
        <f t="shared" si="6"/>
        <v>359777284.12999994</v>
      </c>
      <c r="H42" s="14" t="s">
        <v>48</v>
      </c>
      <c r="I42" s="49">
        <v>15161928.9</v>
      </c>
    </row>
    <row r="43" spans="2:9" ht="15" customHeight="1" x14ac:dyDescent="0.2">
      <c r="B43" s="14" t="s">
        <v>48</v>
      </c>
      <c r="C43" s="28">
        <f>42736470.3+82046462.66</f>
        <v>124782932.95999999</v>
      </c>
      <c r="D43" s="29">
        <f>86617421.83+36129168.02</f>
        <v>122746589.84999999</v>
      </c>
      <c r="E43" s="30">
        <f t="shared" si="6"/>
        <v>247529522.81</v>
      </c>
      <c r="H43" s="14" t="s">
        <v>65</v>
      </c>
      <c r="I43" s="49">
        <v>-114575.25</v>
      </c>
    </row>
    <row r="44" spans="2:9" ht="15" customHeight="1" x14ac:dyDescent="0.2">
      <c r="B44" s="14" t="s">
        <v>54</v>
      </c>
      <c r="C44" s="28">
        <f>1661272.61+15409146.66</f>
        <v>17070419.27</v>
      </c>
      <c r="D44" s="29">
        <f>13772103.99+166635.62</f>
        <v>13938739.609999999</v>
      </c>
      <c r="E44" s="30">
        <f t="shared" si="6"/>
        <v>31009158.879999999</v>
      </c>
      <c r="H44" s="14" t="s">
        <v>66</v>
      </c>
      <c r="I44" s="49">
        <v>44220502.449999996</v>
      </c>
    </row>
    <row r="45" spans="2:9" ht="15" customHeight="1" x14ac:dyDescent="0.2">
      <c r="B45" s="14" t="s">
        <v>20</v>
      </c>
      <c r="C45" s="28">
        <f>9576920.67+19839381.44+67664920.97+23076738.3-C44</f>
        <v>103087542.11</v>
      </c>
      <c r="D45" s="29">
        <f>14943105.37+2265003.77+9172.52+30099995.88-D44</f>
        <v>33378537.93</v>
      </c>
      <c r="E45" s="30">
        <f t="shared" si="6"/>
        <v>136466080.03999999</v>
      </c>
      <c r="H45" s="14" t="s">
        <v>68</v>
      </c>
      <c r="I45" s="51">
        <v>-122899515.20999999</v>
      </c>
    </row>
    <row r="46" spans="2:9" ht="15" customHeight="1" thickBot="1" x14ac:dyDescent="0.25">
      <c r="B46" s="24" t="s">
        <v>21</v>
      </c>
      <c r="C46" s="31">
        <f t="shared" ref="C46:E46" si="7">SUM(C39:C45)</f>
        <v>1173555992.5899999</v>
      </c>
      <c r="D46" s="31">
        <f t="shared" si="7"/>
        <v>491024621.26000005</v>
      </c>
      <c r="E46" s="32">
        <f t="shared" si="7"/>
        <v>1664580613.8499999</v>
      </c>
      <c r="H46" s="14" t="s">
        <v>69</v>
      </c>
      <c r="I46" s="51">
        <v>-87111268.069999993</v>
      </c>
    </row>
    <row r="47" spans="2:9" ht="13.5" thickBot="1" x14ac:dyDescent="0.25">
      <c r="B47" s="12" t="s">
        <v>60</v>
      </c>
      <c r="C47" s="33"/>
      <c r="D47" s="33"/>
      <c r="E47" s="33"/>
      <c r="H47" s="17" t="s">
        <v>70</v>
      </c>
      <c r="I47" s="52">
        <f>SUM(I39:I46)</f>
        <v>606786572.44000006</v>
      </c>
    </row>
    <row r="48" spans="2:9" ht="13.5" thickBot="1" x14ac:dyDescent="0.25">
      <c r="H48" s="53" t="s">
        <v>71</v>
      </c>
      <c r="I48" s="54"/>
    </row>
    <row r="49" spans="2:9" ht="13.5" thickBot="1" x14ac:dyDescent="0.25">
      <c r="C49" s="81" t="s">
        <v>55</v>
      </c>
      <c r="D49" s="82"/>
      <c r="E49" s="82"/>
      <c r="H49" s="55" t="s">
        <v>72</v>
      </c>
      <c r="I49" s="56"/>
    </row>
    <row r="50" spans="2:9" s="23" customFormat="1" ht="13.5" thickBot="1" x14ac:dyDescent="0.25">
      <c r="B50" s="20" t="s">
        <v>16</v>
      </c>
      <c r="C50" s="21" t="s">
        <v>44</v>
      </c>
      <c r="D50" s="22" t="s">
        <v>45</v>
      </c>
      <c r="E50" s="22" t="s">
        <v>46</v>
      </c>
      <c r="H50" s="14" t="s">
        <v>73</v>
      </c>
      <c r="I50" s="51">
        <v>12661285.300000001</v>
      </c>
    </row>
    <row r="51" spans="2:9" ht="15" customHeight="1" x14ac:dyDescent="0.2">
      <c r="B51" s="18" t="s">
        <v>17</v>
      </c>
      <c r="C51" s="25">
        <f>149398100.39+135216486.52</f>
        <v>284614586.90999997</v>
      </c>
      <c r="D51" s="26">
        <f>42019443.33+67417595.76</f>
        <v>109437039.09</v>
      </c>
      <c r="E51" s="27">
        <f t="shared" ref="E51:E57" si="8">C51+D51</f>
        <v>394051626</v>
      </c>
      <c r="H51" s="55" t="s">
        <v>74</v>
      </c>
      <c r="I51" s="56"/>
    </row>
    <row r="52" spans="2:9" ht="15" customHeight="1" x14ac:dyDescent="0.2">
      <c r="B52" s="14" t="s">
        <v>18</v>
      </c>
      <c r="C52" s="28">
        <f>74071716.78+12124817.03</f>
        <v>86196533.810000002</v>
      </c>
      <c r="D52" s="29">
        <f>5969921.34+57286876.01</f>
        <v>63256797.349999994</v>
      </c>
      <c r="E52" s="30">
        <f t="shared" si="8"/>
        <v>149453331.16</v>
      </c>
      <c r="H52" s="14" t="s">
        <v>75</v>
      </c>
      <c r="I52" s="51">
        <v>-2751476.7</v>
      </c>
    </row>
    <row r="53" spans="2:9" ht="15" customHeight="1" thickBot="1" x14ac:dyDescent="0.25">
      <c r="B53" s="19" t="s">
        <v>47</v>
      </c>
      <c r="C53" s="28">
        <f>301899204.09+114107987.68</f>
        <v>416007191.76999998</v>
      </c>
      <c r="D53" s="29">
        <f>3297758.45+47480491.96</f>
        <v>50778250.410000004</v>
      </c>
      <c r="E53" s="30">
        <f t="shared" si="8"/>
        <v>466785442.18000001</v>
      </c>
      <c r="H53" s="17" t="s">
        <v>76</v>
      </c>
      <c r="I53" s="50">
        <f>I50+I52</f>
        <v>9909808.6000000015</v>
      </c>
    </row>
    <row r="54" spans="2:9" ht="15" customHeight="1" x14ac:dyDescent="0.2">
      <c r="B54" s="14" t="s">
        <v>19</v>
      </c>
      <c r="C54" s="28">
        <f>(350786719.86+302122104.81)-C53</f>
        <v>236901632.9000001</v>
      </c>
      <c r="D54" s="29">
        <f>(51400312.26+160670494.58)-D53</f>
        <v>161292556.43000001</v>
      </c>
      <c r="E54" s="30">
        <f t="shared" si="8"/>
        <v>398194189.3300001</v>
      </c>
      <c r="I54" s="60"/>
    </row>
    <row r="55" spans="2:9" ht="15" customHeight="1" thickBot="1" x14ac:dyDescent="0.25">
      <c r="B55" s="14" t="s">
        <v>48</v>
      </c>
      <c r="C55" s="28">
        <f>44234875.86+93883234.79</f>
        <v>138118110.65000001</v>
      </c>
      <c r="D55" s="29">
        <f>94300533.93+38058322.35</f>
        <v>132358856.28</v>
      </c>
      <c r="E55" s="30">
        <f t="shared" si="8"/>
        <v>270476966.93000001</v>
      </c>
    </row>
    <row r="56" spans="2:9" ht="15" customHeight="1" thickBot="1" x14ac:dyDescent="0.25">
      <c r="B56" s="14" t="s">
        <v>54</v>
      </c>
      <c r="C56" s="28">
        <f>2037930.28+3251625.11</f>
        <v>5289555.3899999997</v>
      </c>
      <c r="D56" s="29">
        <f>2362094.11+2868533.99</f>
        <v>5230628.0999999996</v>
      </c>
      <c r="E56" s="30">
        <f t="shared" si="8"/>
        <v>10520183.489999998</v>
      </c>
      <c r="I56" s="47" t="s">
        <v>52</v>
      </c>
    </row>
    <row r="57" spans="2:9" ht="15" customHeight="1" thickBot="1" x14ac:dyDescent="0.25">
      <c r="B57" s="14" t="s">
        <v>20</v>
      </c>
      <c r="C57" s="28">
        <f>5986447.48+8536917.19+72249387.68+29282884.77-C56</f>
        <v>110766081.73</v>
      </c>
      <c r="D57" s="29">
        <f>3392887.11+4219772.6+40122839.84-D56</f>
        <v>42504871.450000003</v>
      </c>
      <c r="E57" s="30">
        <f t="shared" si="8"/>
        <v>153270953.18000001</v>
      </c>
      <c r="H57" s="22" t="s">
        <v>16</v>
      </c>
      <c r="I57" s="22" t="s">
        <v>64</v>
      </c>
    </row>
    <row r="58" spans="2:9" ht="15" customHeight="1" thickBot="1" x14ac:dyDescent="0.25">
      <c r="B58" s="24" t="s">
        <v>21</v>
      </c>
      <c r="C58" s="31">
        <f>SUM(C51:C57)</f>
        <v>1277893693.1600003</v>
      </c>
      <c r="D58" s="43">
        <f t="shared" ref="D58:E58" si="9">SUM(D51:D57)</f>
        <v>564858999.11000001</v>
      </c>
      <c r="E58" s="44">
        <f t="shared" si="9"/>
        <v>1842752692.2700002</v>
      </c>
      <c r="H58" s="14" t="s">
        <v>17</v>
      </c>
      <c r="I58" s="49">
        <v>115478828.23999999</v>
      </c>
    </row>
    <row r="59" spans="2:9" x14ac:dyDescent="0.2">
      <c r="B59" s="12" t="s">
        <v>60</v>
      </c>
      <c r="C59" s="33"/>
      <c r="D59" s="33"/>
      <c r="E59" s="33"/>
      <c r="H59" s="14" t="s">
        <v>18</v>
      </c>
      <c r="I59" s="49">
        <v>3932175.75</v>
      </c>
    </row>
    <row r="60" spans="2:9" x14ac:dyDescent="0.2">
      <c r="B60" s="16"/>
      <c r="C60" s="16"/>
      <c r="D60" s="16"/>
      <c r="E60" s="16"/>
      <c r="H60" s="14" t="s">
        <v>19</v>
      </c>
      <c r="I60" s="49">
        <v>79159641.830000013</v>
      </c>
    </row>
    <row r="61" spans="2:9" x14ac:dyDescent="0.2">
      <c r="E61" s="15"/>
      <c r="H61" s="14" t="s">
        <v>48</v>
      </c>
      <c r="I61" s="49">
        <v>6268854.2699999996</v>
      </c>
    </row>
    <row r="62" spans="2:9" x14ac:dyDescent="0.2">
      <c r="E62" s="15"/>
      <c r="H62" s="14" t="s">
        <v>65</v>
      </c>
      <c r="I62" s="49">
        <v>26401214.710000001</v>
      </c>
    </row>
    <row r="63" spans="2:9" x14ac:dyDescent="0.2">
      <c r="H63" s="14" t="s">
        <v>77</v>
      </c>
      <c r="I63" s="49">
        <v>28516986.670000002</v>
      </c>
    </row>
    <row r="64" spans="2:9" x14ac:dyDescent="0.2">
      <c r="H64" s="14" t="s">
        <v>54</v>
      </c>
      <c r="I64" s="49">
        <v>15856121.76</v>
      </c>
    </row>
    <row r="65" spans="5:9" x14ac:dyDescent="0.2">
      <c r="H65" s="14" t="s">
        <v>78</v>
      </c>
      <c r="I65" s="49">
        <v>9479561.5800000001</v>
      </c>
    </row>
    <row r="66" spans="5:9" x14ac:dyDescent="0.2">
      <c r="H66" s="14" t="s">
        <v>66</v>
      </c>
      <c r="I66" s="49">
        <v>30103632.039999999</v>
      </c>
    </row>
    <row r="67" spans="5:9" ht="13.5" thickBot="1" x14ac:dyDescent="0.25">
      <c r="H67" s="17" t="s">
        <v>67</v>
      </c>
      <c r="I67" s="50">
        <f>SUM(I58:I66)</f>
        <v>315197016.85000002</v>
      </c>
    </row>
    <row r="68" spans="5:9" x14ac:dyDescent="0.2">
      <c r="E68" s="15"/>
      <c r="H68" s="14" t="s">
        <v>17</v>
      </c>
      <c r="I68" s="49">
        <v>570952755.57999992</v>
      </c>
    </row>
    <row r="69" spans="5:9" x14ac:dyDescent="0.2">
      <c r="H69" s="14" t="s">
        <v>18</v>
      </c>
      <c r="I69" s="49">
        <v>39242782.640000001</v>
      </c>
    </row>
    <row r="70" spans="5:9" x14ac:dyDescent="0.2">
      <c r="H70" s="14" t="s">
        <v>19</v>
      </c>
      <c r="I70" s="49">
        <v>160839984.93000001</v>
      </c>
    </row>
    <row r="71" spans="5:9" x14ac:dyDescent="0.2">
      <c r="H71" s="14" t="s">
        <v>48</v>
      </c>
      <c r="I71" s="49">
        <v>17047986.879999999</v>
      </c>
    </row>
    <row r="72" spans="5:9" x14ac:dyDescent="0.2">
      <c r="H72" s="14" t="s">
        <v>79</v>
      </c>
      <c r="I72" s="49">
        <v>14259203.16</v>
      </c>
    </row>
    <row r="73" spans="5:9" x14ac:dyDescent="0.2">
      <c r="H73" s="14" t="s">
        <v>80</v>
      </c>
      <c r="I73" s="49">
        <v>9223628.1099999994</v>
      </c>
    </row>
    <row r="74" spans="5:9" x14ac:dyDescent="0.2">
      <c r="H74" s="14" t="s">
        <v>81</v>
      </c>
      <c r="I74" s="49">
        <v>7116295.5199999996</v>
      </c>
    </row>
    <row r="75" spans="5:9" x14ac:dyDescent="0.2">
      <c r="H75" s="14" t="s">
        <v>82</v>
      </c>
      <c r="I75" s="49">
        <v>6706424.0300000003</v>
      </c>
    </row>
    <row r="76" spans="5:9" x14ac:dyDescent="0.2">
      <c r="H76" s="14" t="s">
        <v>66</v>
      </c>
      <c r="I76" s="49">
        <v>17139167.480000004</v>
      </c>
    </row>
    <row r="77" spans="5:9" x14ac:dyDescent="0.2">
      <c r="H77" s="14" t="s">
        <v>68</v>
      </c>
      <c r="I77" s="49">
        <v>-133761364.45999999</v>
      </c>
    </row>
    <row r="78" spans="5:9" x14ac:dyDescent="0.2">
      <c r="H78" s="14" t="s">
        <v>69</v>
      </c>
      <c r="I78" s="49">
        <v>-86163540.560000002</v>
      </c>
    </row>
    <row r="79" spans="5:9" ht="13.5" thickBot="1" x14ac:dyDescent="0.25">
      <c r="H79" s="17" t="s">
        <v>70</v>
      </c>
      <c r="I79" s="52">
        <f>SUM(I68:I78)</f>
        <v>622603323.3099997</v>
      </c>
    </row>
    <row r="80" spans="5:9" x14ac:dyDescent="0.2">
      <c r="H80" s="53" t="s">
        <v>71</v>
      </c>
      <c r="I80" s="54"/>
    </row>
    <row r="81" spans="8:9" x14ac:dyDescent="0.2">
      <c r="H81" s="55" t="s">
        <v>72</v>
      </c>
      <c r="I81" s="56"/>
    </row>
    <row r="82" spans="8:9" x14ac:dyDescent="0.2">
      <c r="H82" s="14" t="s">
        <v>83</v>
      </c>
      <c r="I82" s="51">
        <v>55911000</v>
      </c>
    </row>
    <row r="83" spans="8:9" x14ac:dyDescent="0.2">
      <c r="H83" s="14" t="s">
        <v>73</v>
      </c>
      <c r="I83" s="56">
        <v>10087122.439999999</v>
      </c>
    </row>
    <row r="84" spans="8:9" x14ac:dyDescent="0.2">
      <c r="H84" s="14" t="s">
        <v>84</v>
      </c>
      <c r="I84" s="51">
        <v>2089150.8</v>
      </c>
    </row>
    <row r="85" spans="8:9" ht="13.5" thickBot="1" x14ac:dyDescent="0.25">
      <c r="H85" s="17" t="s">
        <v>76</v>
      </c>
      <c r="I85" s="50">
        <f>SUM(I82:I84)</f>
        <v>68087273.239999995</v>
      </c>
    </row>
    <row r="87" spans="8:9" ht="13.5" thickBot="1" x14ac:dyDescent="0.25"/>
    <row r="88" spans="8:9" ht="13.5" thickBot="1" x14ac:dyDescent="0.25">
      <c r="I88" s="47" t="s">
        <v>53</v>
      </c>
    </row>
    <row r="89" spans="8:9" ht="13.5" thickBot="1" x14ac:dyDescent="0.25">
      <c r="H89" s="22" t="s">
        <v>16</v>
      </c>
      <c r="I89" s="22" t="s">
        <v>64</v>
      </c>
    </row>
    <row r="90" spans="8:9" x14ac:dyDescent="0.2">
      <c r="H90" s="14" t="s">
        <v>17</v>
      </c>
      <c r="I90" s="49">
        <v>117273851.98999999</v>
      </c>
    </row>
    <row r="91" spans="8:9" x14ac:dyDescent="0.2">
      <c r="H91" s="14" t="s">
        <v>18</v>
      </c>
      <c r="I91" s="49">
        <v>3615439.14</v>
      </c>
    </row>
    <row r="92" spans="8:9" x14ac:dyDescent="0.2">
      <c r="H92" s="14" t="s">
        <v>19</v>
      </c>
      <c r="I92" s="49">
        <v>96386452.549999997</v>
      </c>
    </row>
    <row r="93" spans="8:9" x14ac:dyDescent="0.2">
      <c r="H93" s="14" t="s">
        <v>48</v>
      </c>
      <c r="I93" s="49">
        <v>4919296.1399999997</v>
      </c>
    </row>
    <row r="94" spans="8:9" x14ac:dyDescent="0.2">
      <c r="H94" s="14" t="s">
        <v>65</v>
      </c>
      <c r="I94" s="49">
        <v>7747109.1299999999</v>
      </c>
    </row>
    <row r="95" spans="8:9" x14ac:dyDescent="0.2">
      <c r="H95" s="14" t="s">
        <v>77</v>
      </c>
      <c r="I95" s="49">
        <v>43550994.219999999</v>
      </c>
    </row>
    <row r="96" spans="8:9" x14ac:dyDescent="0.2">
      <c r="H96" s="14" t="s">
        <v>54</v>
      </c>
      <c r="I96" s="49">
        <v>6145471.8200000003</v>
      </c>
    </row>
    <row r="97" spans="8:9" x14ac:dyDescent="0.2">
      <c r="H97" s="14" t="s">
        <v>78</v>
      </c>
      <c r="I97" s="49">
        <v>2409867.2599999998</v>
      </c>
    </row>
    <row r="98" spans="8:9" x14ac:dyDescent="0.2">
      <c r="H98" s="14" t="s">
        <v>66</v>
      </c>
      <c r="I98" s="49">
        <v>26175394.950000003</v>
      </c>
    </row>
    <row r="99" spans="8:9" ht="13.5" thickBot="1" x14ac:dyDescent="0.25">
      <c r="H99" s="17" t="s">
        <v>67</v>
      </c>
      <c r="I99" s="50">
        <f>SUM(I90:I98)</f>
        <v>308223877.19999993</v>
      </c>
    </row>
    <row r="100" spans="8:9" x14ac:dyDescent="0.2">
      <c r="H100" s="14" t="s">
        <v>17</v>
      </c>
      <c r="I100" s="49">
        <v>548980530.76999998</v>
      </c>
    </row>
    <row r="101" spans="8:9" x14ac:dyDescent="0.2">
      <c r="H101" s="14" t="s">
        <v>18</v>
      </c>
      <c r="I101" s="49">
        <v>40014009.18</v>
      </c>
    </row>
    <row r="102" spans="8:9" x14ac:dyDescent="0.2">
      <c r="H102" s="14" t="s">
        <v>19</v>
      </c>
      <c r="I102" s="49">
        <v>152693501.43000001</v>
      </c>
    </row>
    <row r="103" spans="8:9" x14ac:dyDescent="0.2">
      <c r="H103" s="14" t="s">
        <v>48</v>
      </c>
      <c r="I103" s="49">
        <v>18112978.310000002</v>
      </c>
    </row>
    <row r="104" spans="8:9" x14ac:dyDescent="0.2">
      <c r="H104" s="14" t="s">
        <v>79</v>
      </c>
      <c r="I104" s="49">
        <v>20834063.760000002</v>
      </c>
    </row>
    <row r="105" spans="8:9" x14ac:dyDescent="0.2">
      <c r="H105" s="14" t="s">
        <v>80</v>
      </c>
      <c r="I105" s="49">
        <v>8921133.5700000003</v>
      </c>
    </row>
    <row r="106" spans="8:9" x14ac:dyDescent="0.2">
      <c r="H106" s="14" t="s">
        <v>82</v>
      </c>
      <c r="I106" s="49">
        <v>6328161.6799999997</v>
      </c>
    </row>
    <row r="107" spans="8:9" x14ac:dyDescent="0.2">
      <c r="H107" s="14" t="s">
        <v>81</v>
      </c>
      <c r="I107" s="49">
        <v>10477569.07</v>
      </c>
    </row>
    <row r="108" spans="8:9" x14ac:dyDescent="0.2">
      <c r="H108" s="14" t="s">
        <v>66</v>
      </c>
      <c r="I108" s="49">
        <v>23383551.739999998</v>
      </c>
    </row>
    <row r="109" spans="8:9" x14ac:dyDescent="0.2">
      <c r="H109" s="14" t="s">
        <v>68</v>
      </c>
      <c r="I109" s="49">
        <v>-144526182.41999999</v>
      </c>
    </row>
    <row r="110" spans="8:9" x14ac:dyDescent="0.2">
      <c r="H110" s="14" t="s">
        <v>69</v>
      </c>
      <c r="I110" s="49">
        <v>-94431668.849999994</v>
      </c>
    </row>
    <row r="111" spans="8:9" ht="13.5" thickBot="1" x14ac:dyDescent="0.25">
      <c r="H111" s="17" t="s">
        <v>70</v>
      </c>
      <c r="I111" s="52">
        <f>SUM(I100:I110)</f>
        <v>590787648.23999989</v>
      </c>
    </row>
    <row r="112" spans="8:9" x14ac:dyDescent="0.2">
      <c r="H112" s="53" t="s">
        <v>71</v>
      </c>
      <c r="I112" s="54"/>
    </row>
    <row r="113" spans="8:9" x14ac:dyDescent="0.2">
      <c r="H113" s="55" t="s">
        <v>72</v>
      </c>
      <c r="I113" s="56"/>
    </row>
    <row r="114" spans="8:9" x14ac:dyDescent="0.2">
      <c r="H114" s="14" t="s">
        <v>83</v>
      </c>
      <c r="I114" s="49">
        <v>26028959.920000002</v>
      </c>
    </row>
    <row r="115" spans="8:9" x14ac:dyDescent="0.2">
      <c r="H115" s="14" t="s">
        <v>73</v>
      </c>
      <c r="I115" s="49">
        <v>7265810.209999999</v>
      </c>
    </row>
    <row r="116" spans="8:9" x14ac:dyDescent="0.2">
      <c r="H116" s="14" t="s">
        <v>84</v>
      </c>
      <c r="I116" s="49">
        <v>-1471923.7</v>
      </c>
    </row>
    <row r="117" spans="8:9" ht="13.5" thickBot="1" x14ac:dyDescent="0.25">
      <c r="H117" s="17" t="s">
        <v>76</v>
      </c>
      <c r="I117" s="50">
        <f>SUM(I114:I116)</f>
        <v>31822846.430000003</v>
      </c>
    </row>
    <row r="119" spans="8:9" ht="13.5" thickBot="1" x14ac:dyDescent="0.25">
      <c r="I119" s="61"/>
    </row>
    <row r="120" spans="8:9" ht="13.5" thickBot="1" x14ac:dyDescent="0.25">
      <c r="I120" s="47" t="s">
        <v>55</v>
      </c>
    </row>
    <row r="121" spans="8:9" ht="13.5" thickBot="1" x14ac:dyDescent="0.25">
      <c r="H121" s="22" t="s">
        <v>16</v>
      </c>
      <c r="I121" s="22" t="s">
        <v>64</v>
      </c>
    </row>
    <row r="122" spans="8:9" x14ac:dyDescent="0.2">
      <c r="H122" s="14" t="s">
        <v>17</v>
      </c>
      <c r="I122" s="49">
        <v>127046544.3</v>
      </c>
    </row>
    <row r="123" spans="8:9" x14ac:dyDescent="0.2">
      <c r="H123" s="14" t="s">
        <v>18</v>
      </c>
      <c r="I123" s="49">
        <v>4178852.48</v>
      </c>
    </row>
    <row r="124" spans="8:9" x14ac:dyDescent="0.2">
      <c r="H124" s="14" t="s">
        <v>19</v>
      </c>
      <c r="I124" s="49">
        <v>105419098.55000001</v>
      </c>
    </row>
    <row r="125" spans="8:9" x14ac:dyDescent="0.2">
      <c r="H125" s="14" t="s">
        <v>48</v>
      </c>
      <c r="I125" s="49">
        <v>11972623.789999999</v>
      </c>
    </row>
    <row r="126" spans="8:9" x14ac:dyDescent="0.2">
      <c r="H126" s="14" t="s">
        <v>65</v>
      </c>
      <c r="I126" s="49">
        <v>20850272.93</v>
      </c>
    </row>
    <row r="127" spans="8:9" x14ac:dyDescent="0.2">
      <c r="H127" s="14" t="s">
        <v>77</v>
      </c>
      <c r="I127" s="49">
        <v>63194313.159999996</v>
      </c>
    </row>
    <row r="128" spans="8:9" x14ac:dyDescent="0.2">
      <c r="H128" s="14" t="s">
        <v>54</v>
      </c>
      <c r="I128" s="49">
        <v>3370509.85</v>
      </c>
    </row>
    <row r="129" spans="8:9" x14ac:dyDescent="0.2">
      <c r="H129" s="14" t="s">
        <v>78</v>
      </c>
      <c r="I129" s="49">
        <v>2859254.99</v>
      </c>
    </row>
    <row r="130" spans="8:9" x14ac:dyDescent="0.2">
      <c r="H130" s="14" t="s">
        <v>66</v>
      </c>
      <c r="I130" s="49">
        <v>19300416.859999999</v>
      </c>
    </row>
    <row r="131" spans="8:9" ht="13.5" thickBot="1" x14ac:dyDescent="0.25">
      <c r="H131" s="17" t="s">
        <v>67</v>
      </c>
      <c r="I131" s="50">
        <f>SUM(I122:I130)</f>
        <v>358191886.91000009</v>
      </c>
    </row>
    <row r="132" spans="8:9" x14ac:dyDescent="0.2">
      <c r="H132" s="14" t="s">
        <v>17</v>
      </c>
      <c r="I132" s="49">
        <v>569255185.19999993</v>
      </c>
    </row>
    <row r="133" spans="8:9" x14ac:dyDescent="0.2">
      <c r="H133" s="14" t="s">
        <v>18</v>
      </c>
      <c r="I133" s="49">
        <v>48977500.939999998</v>
      </c>
    </row>
    <row r="134" spans="8:9" x14ac:dyDescent="0.2">
      <c r="H134" s="14" t="s">
        <v>19</v>
      </c>
      <c r="I134" s="49">
        <v>116034528.49000001</v>
      </c>
    </row>
    <row r="135" spans="8:9" x14ac:dyDescent="0.2">
      <c r="H135" s="14" t="s">
        <v>48</v>
      </c>
      <c r="I135" s="49">
        <v>53921990.079999998</v>
      </c>
    </row>
    <row r="136" spans="8:9" x14ac:dyDescent="0.2">
      <c r="H136" s="14" t="s">
        <v>85</v>
      </c>
      <c r="I136" s="49">
        <v>1288010.6000000001</v>
      </c>
    </row>
    <row r="137" spans="8:9" x14ac:dyDescent="0.2">
      <c r="H137" s="14" t="s">
        <v>79</v>
      </c>
      <c r="I137" s="49">
        <v>22394083.920000002</v>
      </c>
    </row>
    <row r="138" spans="8:9" x14ac:dyDescent="0.2">
      <c r="H138" s="14" t="s">
        <v>80</v>
      </c>
      <c r="I138" s="49">
        <v>7481548.6199999992</v>
      </c>
    </row>
    <row r="139" spans="8:9" x14ac:dyDescent="0.2">
      <c r="H139" s="14" t="s">
        <v>82</v>
      </c>
      <c r="I139" s="49">
        <v>657416.55000000005</v>
      </c>
    </row>
    <row r="140" spans="8:9" x14ac:dyDescent="0.2">
      <c r="H140" s="14" t="s">
        <v>81</v>
      </c>
      <c r="I140" s="49">
        <v>6086489.0800000001</v>
      </c>
    </row>
    <row r="141" spans="8:9" x14ac:dyDescent="0.2">
      <c r="H141" s="14" t="s">
        <v>54</v>
      </c>
      <c r="I141" s="49">
        <v>1407254.13</v>
      </c>
    </row>
    <row r="142" spans="8:9" x14ac:dyDescent="0.2">
      <c r="H142" s="14" t="s">
        <v>66</v>
      </c>
      <c r="I142" s="49">
        <f>58571181.83-I137-I138-I139-I140-I141</f>
        <v>20544389.529999997</v>
      </c>
    </row>
    <row r="143" spans="8:9" x14ac:dyDescent="0.2">
      <c r="H143" s="14" t="s">
        <v>68</v>
      </c>
      <c r="I143" s="49">
        <v>-159009620.28</v>
      </c>
    </row>
    <row r="144" spans="8:9" x14ac:dyDescent="0.2">
      <c r="H144" s="14" t="s">
        <v>69</v>
      </c>
      <c r="I144" s="49">
        <v>-103418629.23999999</v>
      </c>
    </row>
    <row r="145" spans="8:9" ht="13.5" thickBot="1" x14ac:dyDescent="0.25">
      <c r="H145" s="17" t="s">
        <v>70</v>
      </c>
      <c r="I145" s="52">
        <f>SUM(I132:I144)</f>
        <v>585620147.61999989</v>
      </c>
    </row>
    <row r="146" spans="8:9" x14ac:dyDescent="0.2">
      <c r="H146" s="53" t="s">
        <v>71</v>
      </c>
      <c r="I146" s="54"/>
    </row>
    <row r="147" spans="8:9" x14ac:dyDescent="0.2">
      <c r="H147" s="55" t="s">
        <v>72</v>
      </c>
      <c r="I147" s="56"/>
    </row>
    <row r="148" spans="8:9" x14ac:dyDescent="0.2">
      <c r="H148" s="14" t="s">
        <v>86</v>
      </c>
      <c r="I148" s="62">
        <v>28691187.569999997</v>
      </c>
    </row>
    <row r="149" spans="8:9" x14ac:dyDescent="0.2">
      <c r="H149" s="14" t="s">
        <v>83</v>
      </c>
      <c r="I149" s="49">
        <v>896066.74</v>
      </c>
    </row>
    <row r="150" spans="8:9" x14ac:dyDescent="0.2">
      <c r="H150" s="14" t="s">
        <v>73</v>
      </c>
      <c r="I150" s="49">
        <v>30616804.940000001</v>
      </c>
    </row>
    <row r="151" spans="8:9" x14ac:dyDescent="0.2">
      <c r="H151" s="14" t="s">
        <v>84</v>
      </c>
      <c r="I151" s="49">
        <v>-564406.80000000005</v>
      </c>
    </row>
    <row r="152" spans="8:9" ht="13.5" thickBot="1" x14ac:dyDescent="0.25">
      <c r="H152" s="17" t="s">
        <v>76</v>
      </c>
      <c r="I152" s="50">
        <f>SUM(I148:I151)</f>
        <v>59639652.450000003</v>
      </c>
    </row>
    <row r="154" spans="8:9" x14ac:dyDescent="0.2">
      <c r="H154" s="63" t="s">
        <v>87</v>
      </c>
      <c r="I154" s="61"/>
    </row>
    <row r="155" spans="8:9" x14ac:dyDescent="0.2">
      <c r="H155" s="64" t="s">
        <v>88</v>
      </c>
      <c r="I155" s="15"/>
    </row>
    <row r="156" spans="8:9" x14ac:dyDescent="0.2">
      <c r="H156" s="64"/>
      <c r="I156" s="15"/>
    </row>
    <row r="157" spans="8:9" x14ac:dyDescent="0.2">
      <c r="H157" s="63" t="s">
        <v>89</v>
      </c>
      <c r="I157" s="15"/>
    </row>
    <row r="158" spans="8:9" x14ac:dyDescent="0.2">
      <c r="H158" s="64" t="s">
        <v>90</v>
      </c>
      <c r="I158" s="15"/>
    </row>
    <row r="159" spans="8:9" x14ac:dyDescent="0.2">
      <c r="H159" s="64" t="s">
        <v>91</v>
      </c>
      <c r="I159" s="15"/>
    </row>
    <row r="160" spans="8:9" x14ac:dyDescent="0.2">
      <c r="I160" s="61"/>
    </row>
  </sheetData>
  <mergeCells count="6">
    <mergeCell ref="C49:E49"/>
    <mergeCell ref="H2:I3"/>
    <mergeCell ref="C4:E4"/>
    <mergeCell ref="C15:E15"/>
    <mergeCell ref="C26:E26"/>
    <mergeCell ref="C37:E3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H11"/>
  <sheetViews>
    <sheetView workbookViewId="0">
      <selection activeCell="D13" sqref="D13"/>
    </sheetView>
  </sheetViews>
  <sheetFormatPr defaultRowHeight="15" x14ac:dyDescent="0.25"/>
  <cols>
    <col min="1" max="1" width="26.140625" customWidth="1"/>
    <col min="2" max="2" width="18.7109375" bestFit="1" customWidth="1"/>
    <col min="3" max="3" width="17.28515625" bestFit="1" customWidth="1"/>
    <col min="4" max="4" width="23.42578125" customWidth="1"/>
    <col min="6" max="6" width="15.42578125" bestFit="1" customWidth="1"/>
    <col min="7" max="7" width="15.28515625" customWidth="1"/>
    <col min="8" max="8" width="15.42578125" bestFit="1" customWidth="1"/>
  </cols>
  <sheetData>
    <row r="3" spans="1:8" x14ac:dyDescent="0.25">
      <c r="A3" s="86" t="s">
        <v>16</v>
      </c>
      <c r="B3" s="84" t="s">
        <v>15</v>
      </c>
      <c r="C3" s="85"/>
      <c r="D3" s="85"/>
    </row>
    <row r="4" spans="1:8" ht="57.75" x14ac:dyDescent="0.25">
      <c r="A4" s="87"/>
      <c r="B4" s="69" t="s">
        <v>41</v>
      </c>
      <c r="C4" s="70" t="s">
        <v>40</v>
      </c>
      <c r="D4" s="70" t="s">
        <v>22</v>
      </c>
    </row>
    <row r="5" spans="1:8" x14ac:dyDescent="0.25">
      <c r="A5" s="71" t="s">
        <v>17</v>
      </c>
      <c r="B5" s="72">
        <f>'I-OPEX Evolução'!C17+'I-OPEX Evolução'!D17+'I-OPEX Evolução'!I32+'I-OPEX Evolução'!I39</f>
        <v>1026112415.71</v>
      </c>
      <c r="C5" s="72">
        <f>'I-OPEX 1a RTP'!B3+'I-OPEX 1a RTP'!B4</f>
        <v>1029985947.8499999</v>
      </c>
      <c r="D5" s="72">
        <v>1021210059.11</v>
      </c>
      <c r="G5" s="45"/>
    </row>
    <row r="6" spans="1:8" x14ac:dyDescent="0.25">
      <c r="A6" s="71" t="s">
        <v>18</v>
      </c>
      <c r="B6" s="72">
        <f>'I-OPEX Evolução'!C18+'I-OPEX Evolução'!D18+'I-OPEX Evolução'!I33+'I-OPEX Evolução'!I40</f>
        <v>138817665.32999998</v>
      </c>
      <c r="C6" s="72">
        <f>'I-OPEX 1a RTP'!B5+'I-OPEX 1a RTP'!B6</f>
        <v>66234137.579999991</v>
      </c>
      <c r="D6" s="72">
        <v>73172736.659999996</v>
      </c>
      <c r="G6" s="45"/>
      <c r="H6" s="45"/>
    </row>
    <row r="7" spans="1:8" x14ac:dyDescent="0.25">
      <c r="A7" s="71" t="s">
        <v>19</v>
      </c>
      <c r="B7" s="72">
        <f>'I-OPEX Evolução'!C20+'I-OPEX Evolução'!D20+'I-OPEX Evolução'!I34+'I-OPEX Evolução'!I41</f>
        <v>503529132.67000002</v>
      </c>
      <c r="C7" s="72">
        <f>'I-OPEX 1a RTP'!B7+'I-OPEX 1a RTP'!B8</f>
        <v>497173266.65399998</v>
      </c>
      <c r="D7" s="72">
        <v>472769246.86000001</v>
      </c>
      <c r="G7" s="45"/>
      <c r="H7" s="45"/>
    </row>
    <row r="8" spans="1:8" x14ac:dyDescent="0.25">
      <c r="A8" s="71" t="s">
        <v>20</v>
      </c>
      <c r="B8" s="72">
        <f>'I-OPEX Evolução'!C22+'I-OPEX Evolução'!D22+'I-OPEX Evolução'!I37+'I-OPEX Evolução'!I44</f>
        <v>212543531.77999997</v>
      </c>
      <c r="C8" s="72">
        <f>'I-OPEX 1a RTP'!B9+'I-OPEX 1a RTP'!B10</f>
        <v>55129162.109999999</v>
      </c>
      <c r="D8" s="72">
        <v>385567732.5</v>
      </c>
      <c r="G8" s="45"/>
      <c r="H8" s="45"/>
    </row>
    <row r="9" spans="1:8" x14ac:dyDescent="0.25">
      <c r="A9" s="73" t="s">
        <v>21</v>
      </c>
      <c r="B9" s="74">
        <f>SUM(B5:B8)</f>
        <v>1881002745.49</v>
      </c>
      <c r="C9" s="74">
        <f>SUM(C5:C8)</f>
        <v>1648522514.1939998</v>
      </c>
      <c r="D9" s="74">
        <f>SUM(D5:D8)</f>
        <v>1952719775.1300001</v>
      </c>
      <c r="G9" s="45"/>
      <c r="H9" s="45"/>
    </row>
    <row r="10" spans="1:8" x14ac:dyDescent="0.25">
      <c r="A10" s="46" t="s">
        <v>61</v>
      </c>
      <c r="G10" s="45"/>
      <c r="H10" s="45"/>
    </row>
    <row r="11" spans="1:8" x14ac:dyDescent="0.25">
      <c r="B11" s="65"/>
      <c r="H11" s="45"/>
    </row>
  </sheetData>
  <mergeCells count="2">
    <mergeCell ref="B3:D3"/>
    <mergeCell ref="A3:A4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0"/>
  <sheetViews>
    <sheetView tabSelected="1" topLeftCell="A10" workbookViewId="0">
      <selection activeCell="F28" sqref="F28"/>
    </sheetView>
  </sheetViews>
  <sheetFormatPr defaultRowHeight="15" x14ac:dyDescent="0.25"/>
  <cols>
    <col min="1" max="1" width="36.28515625" bestFit="1" customWidth="1"/>
    <col min="2" max="2" width="17.42578125" customWidth="1"/>
    <col min="3" max="3" width="19.140625" customWidth="1"/>
    <col min="4" max="4" width="18.140625" customWidth="1"/>
    <col min="5" max="5" width="16.85546875" bestFit="1" customWidth="1"/>
    <col min="6" max="6" width="15.42578125" bestFit="1" customWidth="1"/>
    <col min="7" max="7" width="17" customWidth="1"/>
    <col min="8" max="8" width="16.85546875" bestFit="1" customWidth="1"/>
    <col min="9" max="9" width="15.28515625" bestFit="1" customWidth="1"/>
    <col min="10" max="10" width="16.85546875" bestFit="1" customWidth="1"/>
    <col min="11" max="11" width="16.7109375" customWidth="1"/>
    <col min="12" max="12" width="15.28515625" bestFit="1" customWidth="1"/>
    <col min="13" max="14" width="16.85546875" bestFit="1" customWidth="1"/>
    <col min="15" max="15" width="15.28515625" bestFit="1" customWidth="1"/>
    <col min="16" max="16" width="16.85546875" bestFit="1" customWidth="1"/>
  </cols>
  <sheetData>
    <row r="1" spans="1:6" x14ac:dyDescent="0.25">
      <c r="A1" s="75" t="s">
        <v>42</v>
      </c>
      <c r="B1" s="75"/>
    </row>
    <row r="2" spans="1:6" x14ac:dyDescent="0.25">
      <c r="A2" s="67">
        <v>2017</v>
      </c>
      <c r="B2" s="67">
        <f>'I-IPCA'!C27/'I-IPCA'!C15</f>
        <v>1.0294742132043471</v>
      </c>
    </row>
    <row r="3" spans="1:6" x14ac:dyDescent="0.25">
      <c r="A3" s="68">
        <v>2018</v>
      </c>
      <c r="B3" s="68">
        <f>'I-IPCA'!C39/'I-IPCA'!C15</f>
        <v>1.0680340054861068</v>
      </c>
    </row>
    <row r="4" spans="1:6" x14ac:dyDescent="0.25">
      <c r="A4" s="67">
        <v>2019</v>
      </c>
      <c r="B4" s="67">
        <f>'I-IPCA'!C51/'I-IPCA'!C15</f>
        <v>1.1140251690851604</v>
      </c>
    </row>
    <row r="5" spans="1:6" x14ac:dyDescent="0.25">
      <c r="A5" s="68">
        <v>2020</v>
      </c>
      <c r="B5" s="68">
        <f>'I-IPCA'!C64/'I-IPCA'!C15</f>
        <v>1.1643507758025002</v>
      </c>
    </row>
    <row r="7" spans="1:6" x14ac:dyDescent="0.25">
      <c r="A7" s="88" t="s">
        <v>49</v>
      </c>
      <c r="B7" s="88"/>
      <c r="C7" s="88"/>
    </row>
    <row r="8" spans="1:6" x14ac:dyDescent="0.25">
      <c r="A8" s="76" t="s">
        <v>57</v>
      </c>
      <c r="B8" s="76">
        <v>2016</v>
      </c>
      <c r="C8" s="76">
        <v>2017</v>
      </c>
      <c r="D8" s="76">
        <v>2018</v>
      </c>
      <c r="E8" s="76">
        <v>2019</v>
      </c>
      <c r="F8" s="76">
        <v>2020</v>
      </c>
    </row>
    <row r="9" spans="1:6" x14ac:dyDescent="0.25">
      <c r="A9" s="67" t="s">
        <v>62</v>
      </c>
      <c r="B9" s="77">
        <v>1</v>
      </c>
      <c r="C9" s="77">
        <f>B2</f>
        <v>1.0294742132043471</v>
      </c>
      <c r="D9" s="77">
        <f>B3</f>
        <v>1.0680340054861068</v>
      </c>
      <c r="E9" s="77">
        <f>B4</f>
        <v>1.1140251690851604</v>
      </c>
      <c r="F9" s="77">
        <f>B5</f>
        <v>1.1643507758025002</v>
      </c>
    </row>
    <row r="10" spans="1:6" x14ac:dyDescent="0.25">
      <c r="A10" s="68" t="s">
        <v>0</v>
      </c>
      <c r="B10" s="80">
        <f>'I-OPEX 1a RTP'!B3</f>
        <v>664916630.43999994</v>
      </c>
      <c r="C10" s="80">
        <f t="shared" ref="C10:C17" si="0">B10*$B$2</f>
        <v>684514524.96870458</v>
      </c>
      <c r="D10" s="80">
        <f t="shared" ref="D10:D17" si="1">B10*$B$3</f>
        <v>710153572.12315857</v>
      </c>
      <c r="E10" s="80">
        <f t="shared" ref="E10:E17" si="2">B10*$B$4</f>
        <v>740733861.65345597</v>
      </c>
      <c r="F10" s="80">
        <f t="shared" ref="F10:F17" si="3">B10*$B$5</f>
        <v>774196194.49679828</v>
      </c>
    </row>
    <row r="11" spans="1:6" x14ac:dyDescent="0.25">
      <c r="A11" s="67" t="s">
        <v>1</v>
      </c>
      <c r="B11" s="78">
        <f>'I-OPEX 1a RTP'!B4</f>
        <v>365069317.41000003</v>
      </c>
      <c r="C11" s="78">
        <f t="shared" si="0"/>
        <v>375829448.30570781</v>
      </c>
      <c r="D11" s="78">
        <f t="shared" si="1"/>
        <v>389906445.35348123</v>
      </c>
      <c r="E11" s="78">
        <f t="shared" si="2"/>
        <v>406696408.05547935</v>
      </c>
      <c r="F11" s="78">
        <f t="shared" si="3"/>
        <v>425068742.94802272</v>
      </c>
    </row>
    <row r="12" spans="1:6" x14ac:dyDescent="0.25">
      <c r="A12" s="68" t="s">
        <v>2</v>
      </c>
      <c r="B12" s="80">
        <f>'I-OPEX 1a RTP'!B5</f>
        <v>42300608.129999995</v>
      </c>
      <c r="C12" s="80">
        <f t="shared" si="0"/>
        <v>43547385.272697151</v>
      </c>
      <c r="D12" s="80">
        <f t="shared" si="1"/>
        <v>45178487.935582072</v>
      </c>
      <c r="E12" s="80">
        <f t="shared" si="2"/>
        <v>47123942.124428354</v>
      </c>
      <c r="F12" s="80">
        <f t="shared" si="3"/>
        <v>49252745.893083043</v>
      </c>
    </row>
    <row r="13" spans="1:6" x14ac:dyDescent="0.25">
      <c r="A13" s="67" t="s">
        <v>3</v>
      </c>
      <c r="B13" s="78">
        <f>'I-OPEX 1a RTP'!B6</f>
        <v>23933529.449999996</v>
      </c>
      <c r="C13" s="78">
        <f t="shared" si="0"/>
        <v>24638951.399741814</v>
      </c>
      <c r="D13" s="78">
        <f t="shared" si="1"/>
        <v>25561823.323903196</v>
      </c>
      <c r="E13" s="78">
        <f t="shared" si="2"/>
        <v>26662554.19234091</v>
      </c>
      <c r="F13" s="78">
        <f t="shared" si="3"/>
        <v>27867023.582799483</v>
      </c>
    </row>
    <row r="14" spans="1:6" x14ac:dyDescent="0.25">
      <c r="A14" s="68" t="s">
        <v>4</v>
      </c>
      <c r="B14" s="80">
        <f>'I-OPEX 1a RTP'!B7</f>
        <v>303371815.56319046</v>
      </c>
      <c r="C14" s="80">
        <f t="shared" si="0"/>
        <v>312313461.13528979</v>
      </c>
      <c r="D14" s="80">
        <f t="shared" si="1"/>
        <v>324011415.32754678</v>
      </c>
      <c r="E14" s="80">
        <f t="shared" si="2"/>
        <v>337963838.12845534</v>
      </c>
      <c r="F14" s="80">
        <f t="shared" si="3"/>
        <v>353231208.80761385</v>
      </c>
    </row>
    <row r="15" spans="1:6" x14ac:dyDescent="0.25">
      <c r="A15" s="67" t="s">
        <v>5</v>
      </c>
      <c r="B15" s="78">
        <f>'I-OPEX 1a RTP'!B8</f>
        <v>193801451.09080952</v>
      </c>
      <c r="C15" s="78">
        <f t="shared" si="0"/>
        <v>199513596.37957188</v>
      </c>
      <c r="D15" s="78">
        <f t="shared" si="1"/>
        <v>206986540.07753712</v>
      </c>
      <c r="E15" s="78">
        <f t="shared" si="2"/>
        <v>215899694.32038853</v>
      </c>
      <c r="F15" s="78">
        <f t="shared" si="3"/>
        <v>225652869.92923439</v>
      </c>
    </row>
    <row r="16" spans="1:6" x14ac:dyDescent="0.25">
      <c r="A16" s="68" t="s">
        <v>6</v>
      </c>
      <c r="B16" s="80">
        <f>'I-OPEX 1a RTP'!B9</f>
        <v>32950246.449999996</v>
      </c>
      <c r="C16" s="80">
        <f t="shared" si="0"/>
        <v>33921429.039003074</v>
      </c>
      <c r="D16" s="80">
        <f t="shared" si="1"/>
        <v>35191983.697747864</v>
      </c>
      <c r="E16" s="80">
        <f t="shared" si="2"/>
        <v>36707403.872858949</v>
      </c>
      <c r="F16" s="80">
        <f t="shared" si="3"/>
        <v>38365645.016941071</v>
      </c>
    </row>
    <row r="17" spans="1:6" x14ac:dyDescent="0.25">
      <c r="A17" s="67" t="s">
        <v>7</v>
      </c>
      <c r="B17" s="78">
        <f>'I-OPEX 1a RTP'!B10</f>
        <v>22178915.660000004</v>
      </c>
      <c r="C17" s="78">
        <f t="shared" si="0"/>
        <v>22832621.748804078</v>
      </c>
      <c r="D17" s="78">
        <f t="shared" si="1"/>
        <v>23687836.129688345</v>
      </c>
      <c r="E17" s="78">
        <f t="shared" si="2"/>
        <v>24707870.268257014</v>
      </c>
      <c r="F17" s="78">
        <f t="shared" si="3"/>
        <v>25824037.655179225</v>
      </c>
    </row>
    <row r="18" spans="1:6" x14ac:dyDescent="0.25">
      <c r="A18" s="66" t="s">
        <v>8</v>
      </c>
      <c r="B18" s="79">
        <f>SUM(B10:B17)</f>
        <v>1648522514.194</v>
      </c>
      <c r="C18" s="79">
        <f t="shared" ref="C18:D18" si="4">SUM(C10:C17)</f>
        <v>1697111418.2495205</v>
      </c>
      <c r="D18" s="79">
        <f t="shared" si="4"/>
        <v>1760678103.9686451</v>
      </c>
      <c r="E18" s="79">
        <f>SUM(E10:E17)</f>
        <v>1836495572.6156642</v>
      </c>
      <c r="F18" s="79">
        <f>SUM(F10:F17)</f>
        <v>1919458468.3296721</v>
      </c>
    </row>
    <row r="20" spans="1:6" x14ac:dyDescent="0.25">
      <c r="A20" s="76" t="s">
        <v>58</v>
      </c>
      <c r="B20" s="76">
        <v>2016</v>
      </c>
      <c r="C20" s="76">
        <v>2017</v>
      </c>
      <c r="D20" s="76">
        <v>2018</v>
      </c>
      <c r="E20" s="76">
        <v>2019</v>
      </c>
      <c r="F20" s="76">
        <v>2020</v>
      </c>
    </row>
    <row r="21" spans="1:6" x14ac:dyDescent="0.25">
      <c r="A21" s="67" t="str">
        <f>A9</f>
        <v>Índice de atualização (Base 2016)</v>
      </c>
      <c r="B21" s="77">
        <f t="shared" ref="B21:E21" si="5">B9</f>
        <v>1</v>
      </c>
      <c r="C21" s="77">
        <f t="shared" si="5"/>
        <v>1.0294742132043471</v>
      </c>
      <c r="D21" s="77">
        <f t="shared" si="5"/>
        <v>1.0680340054861068</v>
      </c>
      <c r="E21" s="77">
        <f t="shared" si="5"/>
        <v>1.1140251690851604</v>
      </c>
      <c r="F21" s="77">
        <f>F9</f>
        <v>1.1643507758025002</v>
      </c>
    </row>
    <row r="22" spans="1:6" x14ac:dyDescent="0.25">
      <c r="A22" s="68" t="s">
        <v>9</v>
      </c>
      <c r="B22" s="80">
        <f>'I-OPEX 1a RTP'!B15</f>
        <v>499794014.88341945</v>
      </c>
      <c r="C22" s="80">
        <f t="shared" ref="C22:C27" si="6">B22*$B$2</f>
        <v>514525050.23634994</v>
      </c>
      <c r="D22" s="80">
        <f t="shared" ref="D22:D27" si="7">B22*$B$3</f>
        <v>533797003.63392138</v>
      </c>
      <c r="E22" s="80">
        <f>B22*$B$4</f>
        <v>556783111.93825257</v>
      </c>
      <c r="F22" s="80">
        <f t="shared" ref="F22:F27" si="8">B22*$B$5</f>
        <v>581935548.97095585</v>
      </c>
    </row>
    <row r="23" spans="1:6" x14ac:dyDescent="0.25">
      <c r="A23" s="67" t="s">
        <v>10</v>
      </c>
      <c r="B23" s="78">
        <f>'I-OPEX 1a RTP'!B16</f>
        <v>289751415.3023653</v>
      </c>
      <c r="C23" s="78">
        <f t="shared" si="6"/>
        <v>298291610.29324853</v>
      </c>
      <c r="D23" s="78">
        <f t="shared" si="7"/>
        <v>309464364.68065363</v>
      </c>
      <c r="E23" s="78">
        <f>B23*$B$4</f>
        <v>322790369.42488205</v>
      </c>
      <c r="F23" s="78">
        <f t="shared" si="8"/>
        <v>337372285.19718146</v>
      </c>
    </row>
    <row r="24" spans="1:6" x14ac:dyDescent="0.25">
      <c r="A24" s="68" t="s">
        <v>11</v>
      </c>
      <c r="B24" s="80">
        <f>'I-OPEX 1a RTP'!B17</f>
        <v>113475989.06364654</v>
      </c>
      <c r="C24" s="80">
        <f t="shared" si="6"/>
        <v>116820604.55888261</v>
      </c>
      <c r="D24" s="80">
        <f t="shared" si="7"/>
        <v>121196215.12614407</v>
      </c>
      <c r="E24" s="80">
        <f>B24*$B$4</f>
        <v>126415107.90373464</v>
      </c>
      <c r="F24" s="80">
        <f t="shared" si="8"/>
        <v>132125855.90121289</v>
      </c>
    </row>
    <row r="25" spans="1:6" x14ac:dyDescent="0.25">
      <c r="A25" s="67" t="s">
        <v>12</v>
      </c>
      <c r="B25" s="78">
        <f>'I-OPEX 1a RTP'!B18</f>
        <v>65786759.054521225</v>
      </c>
      <c r="C25" s="78">
        <f t="shared" si="6"/>
        <v>67725772.016917199</v>
      </c>
      <c r="D25" s="78">
        <f t="shared" si="7"/>
        <v>70262495.780949712</v>
      </c>
      <c r="E25" s="78">
        <f>B25*$B$4</f>
        <v>73288105.379277706</v>
      </c>
      <c r="F25" s="78">
        <f t="shared" si="8"/>
        <v>76598863.942663953</v>
      </c>
    </row>
    <row r="26" spans="1:6" x14ac:dyDescent="0.25">
      <c r="A26" s="68" t="s">
        <v>13</v>
      </c>
      <c r="B26" s="80">
        <f>'I-OPEX 1a RTP'!B19</f>
        <v>430269296.63612443</v>
      </c>
      <c r="C26" s="80">
        <f t="shared" si="6"/>
        <v>442951145.620462</v>
      </c>
      <c r="D26" s="80">
        <f t="shared" si="7"/>
        <v>459542240.32396984</v>
      </c>
      <c r="E26" s="80">
        <f t="shared" ref="E26" si="9">B26*$B$4</f>
        <v>479330825.93721151</v>
      </c>
      <c r="F26" s="80">
        <f t="shared" si="8"/>
        <v>500984389.34226757</v>
      </c>
    </row>
    <row r="27" spans="1:6" x14ac:dyDescent="0.25">
      <c r="A27" s="67" t="s">
        <v>14</v>
      </c>
      <c r="B27" s="78">
        <f>'I-OPEX 1a RTP'!B20</f>
        <v>249445039.25392291</v>
      </c>
      <c r="C27" s="78">
        <f t="shared" si="6"/>
        <v>256797235.52365977</v>
      </c>
      <c r="D27" s="78">
        <f t="shared" si="7"/>
        <v>266415784.42300645</v>
      </c>
      <c r="E27" s="78">
        <f>B27*$B$4</f>
        <v>277888052.03230596</v>
      </c>
      <c r="F27" s="78">
        <f t="shared" si="8"/>
        <v>290441524.97539026</v>
      </c>
    </row>
    <row r="28" spans="1:6" x14ac:dyDescent="0.25">
      <c r="A28" s="66" t="s">
        <v>8</v>
      </c>
      <c r="B28" s="79">
        <f>SUM(B22:B27)</f>
        <v>1648522514.194</v>
      </c>
      <c r="C28" s="79">
        <f t="shared" ref="C28:D28" si="10">SUM(C22:C27)</f>
        <v>1697111418.2495201</v>
      </c>
      <c r="D28" s="79">
        <f t="shared" si="10"/>
        <v>1760678103.9686451</v>
      </c>
      <c r="E28" s="79">
        <f>SUM(E22:E27)</f>
        <v>1836495572.6156645</v>
      </c>
      <c r="F28" s="79">
        <f>SUM(F22:F27)</f>
        <v>1919458468.3296719</v>
      </c>
    </row>
    <row r="30" spans="1:6" x14ac:dyDescent="0.25">
      <c r="A30" s="11" t="s">
        <v>92</v>
      </c>
    </row>
  </sheetData>
  <mergeCells count="1">
    <mergeCell ref="A7:C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I-OPEX 1a RTP</vt:lpstr>
      <vt:lpstr>I-IPCA</vt:lpstr>
      <vt:lpstr>I-OPEX Evolução</vt:lpstr>
      <vt:lpstr>A-OPEX Divergentes</vt:lpstr>
      <vt:lpstr>R-OPEX Atualizados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 Rubim de Souza Netto</dc:creator>
  <cp:lastModifiedBy>LRM</cp:lastModifiedBy>
  <dcterms:created xsi:type="dcterms:W3CDTF">2020-12-07T17:15:20Z</dcterms:created>
  <dcterms:modified xsi:type="dcterms:W3CDTF">2021-03-23T12:18:23Z</dcterms:modified>
</cp:coreProperties>
</file>