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3B0B0961-B9AA-4B57-90AE-7C2A75A3290E}" xr6:coauthVersionLast="36" xr6:coauthVersionMax="36" xr10:uidLastSave="{00000000-0000-0000-0000-000000000000}"/>
  <bookViews>
    <workbookView xWindow="-120" yWindow="-120" windowWidth="20730" windowHeight="11160" tabRatio="785" xr2:uid="{00000000-000D-0000-FFFF-FFFF00000000}"/>
  </bookViews>
  <sheets>
    <sheet name="Mapa_Planilha" sheetId="20" r:id="rId1"/>
    <sheet name="I-OR-2017" sheetId="25" r:id="rId2"/>
    <sheet name="I-OR-2018" sheetId="26" r:id="rId3"/>
    <sheet name="I-OR-2019" sheetId="27" r:id="rId4"/>
    <sheet name="I-Apur. PASEP_COFINS 2017 " sheetId="31" r:id="rId5"/>
    <sheet name="I-Apur. PASEP_COFINS 2018" sheetId="32" r:id="rId6"/>
    <sheet name="I-Apur. PASEP_COFINS 2019" sheetId="33" r:id="rId7"/>
    <sheet name="A-CONSOL PASEP_COFINS" sheetId="34" r:id="rId8"/>
    <sheet name="A-CALCULO OR CONSOL" sheetId="28" r:id="rId9"/>
    <sheet name="R-COMPARTILHAMENTO OR" sheetId="29" r:id="rId10"/>
  </sheets>
  <externalReferences>
    <externalReference r:id="rId11"/>
  </externalReferences>
  <definedNames>
    <definedName name="ano_fim">[1]Menu!$D$20</definedName>
    <definedName name="fator_x">'[1]Fator X'!$B$46</definedName>
    <definedName name="P0_San_T">[1]P0_Sanepar!$B$5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4" l="1"/>
  <c r="E33" i="34"/>
  <c r="E32" i="34"/>
  <c r="E31" i="34"/>
  <c r="E30" i="34"/>
  <c r="E29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3" i="34"/>
  <c r="E12" i="34"/>
  <c r="E11" i="34"/>
  <c r="E10" i="34"/>
  <c r="E9" i="34"/>
  <c r="E8" i="34"/>
  <c r="E7" i="34"/>
  <c r="E6" i="34"/>
  <c r="E5" i="34"/>
  <c r="E119" i="34" l="1"/>
  <c r="E97" i="34"/>
  <c r="E75" i="34"/>
  <c r="C73" i="34"/>
  <c r="B73" i="34"/>
  <c r="E70" i="34"/>
  <c r="E66" i="34"/>
  <c r="E62" i="34"/>
  <c r="C92" i="34"/>
  <c r="C93" i="34" s="1"/>
  <c r="B36" i="34"/>
  <c r="D87" i="34"/>
  <c r="C87" i="34"/>
  <c r="N123" i="33"/>
  <c r="N119" i="33"/>
  <c r="N102" i="33"/>
  <c r="N98" i="33"/>
  <c r="B81" i="33"/>
  <c r="B77" i="33" s="1"/>
  <c r="I77" i="33"/>
  <c r="M77" i="33"/>
  <c r="H77" i="33"/>
  <c r="E77" i="33"/>
  <c r="D77" i="33"/>
  <c r="J73" i="33"/>
  <c r="I73" i="33"/>
  <c r="G73" i="33"/>
  <c r="F73" i="33"/>
  <c r="M73" i="33"/>
  <c r="L73" i="33"/>
  <c r="H73" i="33"/>
  <c r="E73" i="33"/>
  <c r="D73" i="33"/>
  <c r="B73" i="33"/>
  <c r="N71" i="33"/>
  <c r="N70" i="33"/>
  <c r="N69" i="33"/>
  <c r="N68" i="33"/>
  <c r="N67" i="33"/>
  <c r="D65" i="33"/>
  <c r="N65" i="33" s="1"/>
  <c r="N64" i="33"/>
  <c r="M56" i="33"/>
  <c r="N62" i="33"/>
  <c r="N61" i="33"/>
  <c r="N60" i="33"/>
  <c r="K59" i="33"/>
  <c r="K56" i="33" s="1"/>
  <c r="J59" i="33"/>
  <c r="N58" i="33"/>
  <c r="E57" i="33"/>
  <c r="E56" i="33" s="1"/>
  <c r="D57" i="33"/>
  <c r="L56" i="33"/>
  <c r="I56" i="33"/>
  <c r="H56" i="33"/>
  <c r="G56" i="33"/>
  <c r="C56" i="33"/>
  <c r="B56" i="33"/>
  <c r="F54" i="33"/>
  <c r="E54" i="33"/>
  <c r="D54" i="33"/>
  <c r="C41" i="33"/>
  <c r="J52" i="33"/>
  <c r="E52" i="33"/>
  <c r="N51" i="33"/>
  <c r="F50" i="33"/>
  <c r="E50" i="33"/>
  <c r="N50" i="33" s="1"/>
  <c r="E49" i="33"/>
  <c r="D49" i="33"/>
  <c r="E48" i="33"/>
  <c r="N48" i="33" s="1"/>
  <c r="F47" i="33"/>
  <c r="N46" i="33"/>
  <c r="N45" i="33"/>
  <c r="I44" i="33"/>
  <c r="I41" i="33" s="1"/>
  <c r="E44" i="33"/>
  <c r="F43" i="33"/>
  <c r="N43" i="33" s="1"/>
  <c r="M42" i="33"/>
  <c r="E42" i="33"/>
  <c r="D42" i="33"/>
  <c r="L41" i="33"/>
  <c r="K41" i="33"/>
  <c r="H41" i="33"/>
  <c r="B41" i="33"/>
  <c r="M35" i="33"/>
  <c r="M36" i="33" s="1"/>
  <c r="H35" i="33"/>
  <c r="H36" i="33" s="1"/>
  <c r="E32" i="33"/>
  <c r="D32" i="33"/>
  <c r="C32" i="33"/>
  <c r="B32" i="33"/>
  <c r="D31" i="33"/>
  <c r="E30" i="33"/>
  <c r="D30" i="33"/>
  <c r="C30" i="33"/>
  <c r="E29" i="33"/>
  <c r="D29" i="33"/>
  <c r="C29" i="33"/>
  <c r="M25" i="33"/>
  <c r="K25" i="33"/>
  <c r="H25" i="33"/>
  <c r="E25" i="33"/>
  <c r="C25" i="33"/>
  <c r="B25" i="33"/>
  <c r="D23" i="33"/>
  <c r="L25" i="33"/>
  <c r="J25" i="33"/>
  <c r="M19" i="33"/>
  <c r="M27" i="33" s="1"/>
  <c r="H19" i="33"/>
  <c r="B19" i="33"/>
  <c r="N18" i="33"/>
  <c r="D17" i="33"/>
  <c r="D16" i="33"/>
  <c r="C16" i="33"/>
  <c r="E15" i="33"/>
  <c r="E19" i="33" s="1"/>
  <c r="D15" i="33"/>
  <c r="C15" i="33"/>
  <c r="C19" i="33" s="1"/>
  <c r="H14" i="33"/>
  <c r="B14" i="33"/>
  <c r="E13" i="33"/>
  <c r="D13" i="33"/>
  <c r="C13" i="33"/>
  <c r="D12" i="33"/>
  <c r="E11" i="33"/>
  <c r="D11" i="33"/>
  <c r="C11" i="33"/>
  <c r="E10" i="33"/>
  <c r="D10" i="33"/>
  <c r="C10" i="33"/>
  <c r="E7" i="33"/>
  <c r="D7" i="33"/>
  <c r="C7" i="33"/>
  <c r="E6" i="33"/>
  <c r="D6" i="33"/>
  <c r="C6" i="33"/>
  <c r="E5" i="33"/>
  <c r="D5" i="33"/>
  <c r="C5" i="33"/>
  <c r="N119" i="32"/>
  <c r="N115" i="32"/>
  <c r="N114" i="32"/>
  <c r="N98" i="32"/>
  <c r="N94" i="32"/>
  <c r="N93" i="32"/>
  <c r="N77" i="32"/>
  <c r="N76" i="32"/>
  <c r="N75" i="32"/>
  <c r="M74" i="32"/>
  <c r="L74" i="32"/>
  <c r="K74" i="32"/>
  <c r="J74" i="32"/>
  <c r="I74" i="32"/>
  <c r="H74" i="32"/>
  <c r="G74" i="32"/>
  <c r="F74" i="32"/>
  <c r="E74" i="32"/>
  <c r="D74" i="32"/>
  <c r="C74" i="32"/>
  <c r="B74" i="32"/>
  <c r="N72" i="32"/>
  <c r="M71" i="32"/>
  <c r="L71" i="32"/>
  <c r="K71" i="32"/>
  <c r="J71" i="32"/>
  <c r="I71" i="32"/>
  <c r="H71" i="32"/>
  <c r="G71" i="32"/>
  <c r="F71" i="32"/>
  <c r="E71" i="32"/>
  <c r="D71" i="32"/>
  <c r="C71" i="32"/>
  <c r="B71" i="32"/>
  <c r="N69" i="32"/>
  <c r="N68" i="32"/>
  <c r="N67" i="32"/>
  <c r="N66" i="32"/>
  <c r="N65" i="32"/>
  <c r="M54" i="32"/>
  <c r="I54" i="32"/>
  <c r="N63" i="32"/>
  <c r="N62" i="32"/>
  <c r="H61" i="32"/>
  <c r="F61" i="32"/>
  <c r="C61" i="32"/>
  <c r="B61" i="32"/>
  <c r="B54" i="32" s="1"/>
  <c r="N60" i="32"/>
  <c r="N59" i="32"/>
  <c r="N58" i="32"/>
  <c r="N57" i="32"/>
  <c r="N56" i="32"/>
  <c r="N55" i="32"/>
  <c r="K54" i="32"/>
  <c r="J54" i="32"/>
  <c r="G54" i="32"/>
  <c r="F54" i="32"/>
  <c r="N52" i="32"/>
  <c r="F50" i="32"/>
  <c r="B50" i="32"/>
  <c r="B39" i="32" s="1"/>
  <c r="L49" i="32"/>
  <c r="G49" i="32"/>
  <c r="E49" i="32"/>
  <c r="D49" i="32"/>
  <c r="D39" i="32" s="1"/>
  <c r="N48" i="32"/>
  <c r="N47" i="32"/>
  <c r="N46" i="32"/>
  <c r="N44" i="32"/>
  <c r="N43" i="32"/>
  <c r="N42" i="32"/>
  <c r="N41" i="32"/>
  <c r="N40" i="32"/>
  <c r="I39" i="32"/>
  <c r="B33" i="32"/>
  <c r="B34" i="32" s="1"/>
  <c r="B109" i="32" s="1"/>
  <c r="B110" i="32" s="1"/>
  <c r="L32" i="32"/>
  <c r="J32" i="32"/>
  <c r="M31" i="32"/>
  <c r="G31" i="32"/>
  <c r="L30" i="32"/>
  <c r="K30" i="32"/>
  <c r="J30" i="32"/>
  <c r="J33" i="32" s="1"/>
  <c r="J34" i="32" s="1"/>
  <c r="I30" i="32"/>
  <c r="G30" i="32"/>
  <c r="F30" i="32"/>
  <c r="E30" i="32"/>
  <c r="D30" i="32"/>
  <c r="C30" i="32"/>
  <c r="M29" i="32"/>
  <c r="L29" i="32"/>
  <c r="L33" i="32" s="1"/>
  <c r="L34" i="32" s="1"/>
  <c r="K29" i="32"/>
  <c r="J29" i="32"/>
  <c r="I29" i="32"/>
  <c r="H29" i="32"/>
  <c r="H33" i="32" s="1"/>
  <c r="H34" i="32" s="1"/>
  <c r="G29" i="32"/>
  <c r="F29" i="32"/>
  <c r="E29" i="32"/>
  <c r="D29" i="32"/>
  <c r="C29" i="32"/>
  <c r="C33" i="32" s="1"/>
  <c r="C34" i="32" s="1"/>
  <c r="L26" i="32"/>
  <c r="J26" i="32"/>
  <c r="L25" i="32"/>
  <c r="K25" i="32"/>
  <c r="H25" i="32"/>
  <c r="E25" i="32"/>
  <c r="D25" i="32"/>
  <c r="C25" i="32"/>
  <c r="B25" i="32"/>
  <c r="N24" i="32"/>
  <c r="M23" i="32"/>
  <c r="G23" i="32"/>
  <c r="G25" i="32" s="1"/>
  <c r="N22" i="32"/>
  <c r="M20" i="32"/>
  <c r="I20" i="32"/>
  <c r="I25" i="32" s="1"/>
  <c r="F20" i="32"/>
  <c r="F25" i="32" s="1"/>
  <c r="D20" i="32"/>
  <c r="B19" i="32"/>
  <c r="N18" i="32"/>
  <c r="M17" i="32"/>
  <c r="J17" i="32"/>
  <c r="J23" i="32" s="1"/>
  <c r="J25" i="32" s="1"/>
  <c r="I17" i="32"/>
  <c r="G17" i="32"/>
  <c r="M16" i="32"/>
  <c r="L16" i="32"/>
  <c r="K16" i="32"/>
  <c r="J16" i="32"/>
  <c r="I16" i="32"/>
  <c r="H16" i="32"/>
  <c r="H19" i="32" s="1"/>
  <c r="G16" i="32"/>
  <c r="F16" i="32"/>
  <c r="E16" i="32"/>
  <c r="D16" i="32"/>
  <c r="C16" i="32"/>
  <c r="M15" i="32"/>
  <c r="L15" i="32"/>
  <c r="K15" i="32"/>
  <c r="K19" i="32" s="1"/>
  <c r="J15" i="32"/>
  <c r="I15" i="32"/>
  <c r="G15" i="32"/>
  <c r="F15" i="32"/>
  <c r="E15" i="32"/>
  <c r="D15" i="32"/>
  <c r="C15" i="32"/>
  <c r="C19" i="32" s="1"/>
  <c r="B14" i="32"/>
  <c r="M13" i="32"/>
  <c r="L13" i="32"/>
  <c r="K13" i="32"/>
  <c r="J13" i="32"/>
  <c r="I13" i="32"/>
  <c r="G13" i="32"/>
  <c r="F13" i="32"/>
  <c r="E13" i="32"/>
  <c r="D13" i="32"/>
  <c r="C13" i="32"/>
  <c r="L12" i="32"/>
  <c r="M11" i="32"/>
  <c r="L11" i="32"/>
  <c r="K11" i="32"/>
  <c r="J11" i="32"/>
  <c r="I11" i="32"/>
  <c r="G11" i="32"/>
  <c r="F11" i="32"/>
  <c r="E11" i="32"/>
  <c r="D11" i="32"/>
  <c r="C11" i="32"/>
  <c r="M10" i="32"/>
  <c r="L10" i="32"/>
  <c r="K10" i="32"/>
  <c r="J10" i="32"/>
  <c r="I10" i="32"/>
  <c r="G10" i="32"/>
  <c r="F10" i="32"/>
  <c r="E10" i="32"/>
  <c r="D10" i="32"/>
  <c r="C10" i="32"/>
  <c r="N9" i="32"/>
  <c r="N8" i="32"/>
  <c r="M7" i="32"/>
  <c r="L7" i="32"/>
  <c r="K7" i="32"/>
  <c r="J7" i="32"/>
  <c r="I7" i="32"/>
  <c r="G7" i="32"/>
  <c r="F7" i="32"/>
  <c r="E7" i="32"/>
  <c r="D7" i="32"/>
  <c r="C7" i="32"/>
  <c r="M6" i="32"/>
  <c r="L6" i="32"/>
  <c r="K6" i="32"/>
  <c r="J6" i="32"/>
  <c r="I6" i="32"/>
  <c r="G6" i="32"/>
  <c r="F6" i="32"/>
  <c r="E6" i="32"/>
  <c r="D6" i="32"/>
  <c r="C6" i="32"/>
  <c r="M5" i="32"/>
  <c r="L5" i="32"/>
  <c r="K5" i="32"/>
  <c r="J5" i="32"/>
  <c r="I5" i="32"/>
  <c r="H5" i="32"/>
  <c r="H14" i="32" s="1"/>
  <c r="G5" i="32"/>
  <c r="F5" i="32"/>
  <c r="E5" i="32"/>
  <c r="D5" i="32"/>
  <c r="C5" i="32"/>
  <c r="N115" i="31"/>
  <c r="N111" i="31"/>
  <c r="N110" i="31"/>
  <c r="N94" i="31"/>
  <c r="N90" i="31"/>
  <c r="N89" i="31"/>
  <c r="N73" i="31"/>
  <c r="F72" i="31"/>
  <c r="F70" i="31" s="1"/>
  <c r="C72" i="31"/>
  <c r="C70" i="31" s="1"/>
  <c r="N71" i="31"/>
  <c r="M70" i="31"/>
  <c r="L70" i="31"/>
  <c r="K70" i="31"/>
  <c r="J70" i="31"/>
  <c r="I70" i="31"/>
  <c r="H70" i="31"/>
  <c r="G70" i="31"/>
  <c r="E70" i="31"/>
  <c r="D70" i="31"/>
  <c r="B70" i="31"/>
  <c r="N68" i="31"/>
  <c r="N67" i="31"/>
  <c r="N66" i="31"/>
  <c r="N65" i="31"/>
  <c r="G54" i="31"/>
  <c r="N63" i="31"/>
  <c r="N62" i="31"/>
  <c r="J61" i="31"/>
  <c r="N61" i="31" s="1"/>
  <c r="N60" i="31"/>
  <c r="N59" i="31"/>
  <c r="N58" i="31"/>
  <c r="N57" i="31"/>
  <c r="N56" i="31"/>
  <c r="N55" i="31"/>
  <c r="M54" i="31"/>
  <c r="L54" i="31"/>
  <c r="K54" i="31"/>
  <c r="I54" i="31"/>
  <c r="H54" i="31"/>
  <c r="F54" i="31"/>
  <c r="E54" i="31"/>
  <c r="D54" i="31"/>
  <c r="C54" i="31"/>
  <c r="B54" i="31"/>
  <c r="N52" i="31"/>
  <c r="J50" i="31"/>
  <c r="N50" i="31" s="1"/>
  <c r="L49" i="31"/>
  <c r="J49" i="31"/>
  <c r="N48" i="31"/>
  <c r="L48" i="31"/>
  <c r="N47" i="31"/>
  <c r="N46" i="31"/>
  <c r="N45" i="31"/>
  <c r="N44" i="31"/>
  <c r="N43" i="31"/>
  <c r="N42" i="31"/>
  <c r="N41" i="31"/>
  <c r="N40" i="31"/>
  <c r="M39" i="31"/>
  <c r="I39" i="31"/>
  <c r="H39" i="31"/>
  <c r="G39" i="31"/>
  <c r="F39" i="31"/>
  <c r="E39" i="31"/>
  <c r="D39" i="31"/>
  <c r="C39" i="31"/>
  <c r="B39" i="31"/>
  <c r="B33" i="31"/>
  <c r="B34" i="31" s="1"/>
  <c r="M32" i="31"/>
  <c r="I32" i="31"/>
  <c r="N32" i="31" s="1"/>
  <c r="M31" i="31"/>
  <c r="K31" i="31"/>
  <c r="J31" i="31"/>
  <c r="H31" i="31"/>
  <c r="G31" i="31"/>
  <c r="D31" i="31"/>
  <c r="M30" i="31"/>
  <c r="L30" i="31"/>
  <c r="K30" i="31"/>
  <c r="J30" i="31"/>
  <c r="I30" i="31"/>
  <c r="H30" i="31"/>
  <c r="G30" i="31"/>
  <c r="F30" i="31"/>
  <c r="E30" i="31"/>
  <c r="D30" i="31"/>
  <c r="D33" i="31" s="1"/>
  <c r="D34" i="31" s="1"/>
  <c r="C30" i="31"/>
  <c r="M29" i="31"/>
  <c r="L29" i="31"/>
  <c r="K29" i="31"/>
  <c r="J29" i="31"/>
  <c r="I29" i="31"/>
  <c r="H29" i="31"/>
  <c r="G29" i="31"/>
  <c r="F29" i="31"/>
  <c r="E29" i="31"/>
  <c r="D29" i="31"/>
  <c r="C29" i="31"/>
  <c r="N26" i="31"/>
  <c r="I26" i="31"/>
  <c r="F25" i="31"/>
  <c r="E25" i="31"/>
  <c r="D25" i="31"/>
  <c r="B25" i="31"/>
  <c r="K24" i="31"/>
  <c r="K25" i="31" s="1"/>
  <c r="C24" i="31"/>
  <c r="C25" i="31" s="1"/>
  <c r="J23" i="31"/>
  <c r="H23" i="31"/>
  <c r="N22" i="31"/>
  <c r="N21" i="31"/>
  <c r="M20" i="31"/>
  <c r="M25" i="31" s="1"/>
  <c r="L20" i="31"/>
  <c r="L25" i="31" s="1"/>
  <c r="J20" i="31"/>
  <c r="I20" i="31"/>
  <c r="I25" i="31" s="1"/>
  <c r="H20" i="31"/>
  <c r="H25" i="31" s="1"/>
  <c r="G20" i="31"/>
  <c r="G25" i="31" s="1"/>
  <c r="B19" i="31"/>
  <c r="L18" i="31"/>
  <c r="K18" i="31"/>
  <c r="J18" i="31"/>
  <c r="I18" i="31"/>
  <c r="H18" i="31"/>
  <c r="G18" i="31"/>
  <c r="F18" i="31"/>
  <c r="L17" i="31"/>
  <c r="K17" i="31"/>
  <c r="J17" i="31"/>
  <c r="I17" i="31"/>
  <c r="H17" i="31"/>
  <c r="G17" i="31"/>
  <c r="F17" i="31"/>
  <c r="E17" i="31"/>
  <c r="M16" i="31"/>
  <c r="L16" i="31"/>
  <c r="K16" i="31"/>
  <c r="J16" i="31"/>
  <c r="I16" i="31"/>
  <c r="H16" i="31"/>
  <c r="G16" i="31"/>
  <c r="F16" i="31"/>
  <c r="E16" i="31"/>
  <c r="D16" i="31"/>
  <c r="C16" i="31"/>
  <c r="M15" i="31"/>
  <c r="L15" i="31"/>
  <c r="K15" i="31"/>
  <c r="J15" i="31"/>
  <c r="I15" i="31"/>
  <c r="H15" i="31"/>
  <c r="G15" i="31"/>
  <c r="G19" i="31" s="1"/>
  <c r="F15" i="31"/>
  <c r="E15" i="31"/>
  <c r="D15" i="31"/>
  <c r="C15" i="31"/>
  <c r="B14" i="31"/>
  <c r="M13" i="31"/>
  <c r="L13" i="31"/>
  <c r="K13" i="31"/>
  <c r="J13" i="31"/>
  <c r="I13" i="31"/>
  <c r="H13" i="31"/>
  <c r="G13" i="31"/>
  <c r="F13" i="31"/>
  <c r="E13" i="31"/>
  <c r="D13" i="31"/>
  <c r="C13" i="31"/>
  <c r="N12" i="31"/>
  <c r="M11" i="31"/>
  <c r="L11" i="31"/>
  <c r="K11" i="31"/>
  <c r="J11" i="31"/>
  <c r="I11" i="31"/>
  <c r="H11" i="31"/>
  <c r="G11" i="31"/>
  <c r="F11" i="31"/>
  <c r="E11" i="31"/>
  <c r="D11" i="31"/>
  <c r="C11" i="31"/>
  <c r="M10" i="31"/>
  <c r="L10" i="31"/>
  <c r="K10" i="31"/>
  <c r="J10" i="31"/>
  <c r="I10" i="31"/>
  <c r="H10" i="31"/>
  <c r="G10" i="31"/>
  <c r="F10" i="31"/>
  <c r="E10" i="31"/>
  <c r="D10" i="31"/>
  <c r="C10" i="31"/>
  <c r="N9" i="31"/>
  <c r="N8" i="31"/>
  <c r="M7" i="31"/>
  <c r="L7" i="31"/>
  <c r="K7" i="31"/>
  <c r="J7" i="31"/>
  <c r="I7" i="31"/>
  <c r="H7" i="31"/>
  <c r="G7" i="31"/>
  <c r="F7" i="31"/>
  <c r="D7" i="31"/>
  <c r="C7" i="31"/>
  <c r="M6" i="31"/>
  <c r="L6" i="31"/>
  <c r="K6" i="31"/>
  <c r="J6" i="31"/>
  <c r="I6" i="31"/>
  <c r="H6" i="31"/>
  <c r="G6" i="31"/>
  <c r="F6" i="31"/>
  <c r="E6" i="31"/>
  <c r="D6" i="31"/>
  <c r="C6" i="31"/>
  <c r="M5" i="31"/>
  <c r="L5" i="31"/>
  <c r="K5" i="31"/>
  <c r="J5" i="31"/>
  <c r="I5" i="31"/>
  <c r="H5" i="31"/>
  <c r="G5" i="31"/>
  <c r="F5" i="31"/>
  <c r="E5" i="31"/>
  <c r="D5" i="31"/>
  <c r="D14" i="31" s="1"/>
  <c r="C5" i="31"/>
  <c r="M19" i="31" l="1"/>
  <c r="F75" i="31"/>
  <c r="N57" i="33"/>
  <c r="F14" i="31"/>
  <c r="N23" i="31"/>
  <c r="N72" i="31"/>
  <c r="L14" i="31"/>
  <c r="J33" i="31"/>
  <c r="J34" i="31" s="1"/>
  <c r="L19" i="32"/>
  <c r="N31" i="32"/>
  <c r="N52" i="33"/>
  <c r="H33" i="31"/>
  <c r="H34" i="31" s="1"/>
  <c r="M14" i="32"/>
  <c r="H14" i="31"/>
  <c r="C75" i="31"/>
  <c r="J25" i="31"/>
  <c r="L33" i="31"/>
  <c r="L34" i="31" s="1"/>
  <c r="N32" i="32"/>
  <c r="E35" i="33"/>
  <c r="E36" i="33" s="1"/>
  <c r="E19" i="31"/>
  <c r="E33" i="31"/>
  <c r="E34" i="31" s="1"/>
  <c r="E84" i="31" s="1"/>
  <c r="E85" i="31" s="1"/>
  <c r="G75" i="31"/>
  <c r="G101" i="31" s="1"/>
  <c r="N42" i="33"/>
  <c r="D14" i="33"/>
  <c r="E14" i="33"/>
  <c r="H27" i="33"/>
  <c r="H108" i="33" s="1"/>
  <c r="E14" i="32"/>
  <c r="K14" i="32"/>
  <c r="K27" i="32" s="1"/>
  <c r="I79" i="32"/>
  <c r="I105" i="32" s="1"/>
  <c r="D33" i="32"/>
  <c r="D34" i="32" s="1"/>
  <c r="D88" i="32" s="1"/>
  <c r="D89" i="32" s="1"/>
  <c r="F14" i="32"/>
  <c r="J19" i="32"/>
  <c r="E33" i="32"/>
  <c r="E34" i="32" s="1"/>
  <c r="E88" i="32" s="1"/>
  <c r="E89" i="32" s="1"/>
  <c r="M33" i="32"/>
  <c r="M34" i="32" s="1"/>
  <c r="F19" i="32"/>
  <c r="D19" i="32"/>
  <c r="F33" i="32"/>
  <c r="F34" i="32" s="1"/>
  <c r="F109" i="32" s="1"/>
  <c r="F110" i="32" s="1"/>
  <c r="B88" i="32"/>
  <c r="D56" i="34"/>
  <c r="N6" i="32"/>
  <c r="C35" i="33"/>
  <c r="C36" i="33" s="1"/>
  <c r="H75" i="31"/>
  <c r="H101" i="31" s="1"/>
  <c r="N49" i="33"/>
  <c r="N10" i="31"/>
  <c r="H19" i="31"/>
  <c r="N7" i="32"/>
  <c r="M19" i="32"/>
  <c r="N30" i="32"/>
  <c r="C73" i="33"/>
  <c r="N24" i="31"/>
  <c r="N10" i="32"/>
  <c r="N7" i="31"/>
  <c r="I19" i="31"/>
  <c r="N17" i="31"/>
  <c r="N18" i="31"/>
  <c r="F33" i="31"/>
  <c r="F34" i="31" s="1"/>
  <c r="F105" i="31" s="1"/>
  <c r="F106" i="31" s="1"/>
  <c r="N30" i="31"/>
  <c r="B75" i="31"/>
  <c r="I14" i="32"/>
  <c r="D14" i="32"/>
  <c r="D27" i="32" s="1"/>
  <c r="D104" i="32" s="1"/>
  <c r="N11" i="32"/>
  <c r="N12" i="32"/>
  <c r="N16" i="32"/>
  <c r="N50" i="32"/>
  <c r="B27" i="33"/>
  <c r="B108" i="33" s="1"/>
  <c r="D73" i="34"/>
  <c r="E123" i="34"/>
  <c r="J19" i="31"/>
  <c r="N71" i="32"/>
  <c r="J14" i="32"/>
  <c r="N20" i="32"/>
  <c r="H54" i="32"/>
  <c r="H83" i="33"/>
  <c r="H88" i="33" s="1"/>
  <c r="C90" i="34"/>
  <c r="C95" i="34" s="1"/>
  <c r="B83" i="33"/>
  <c r="B109" i="33" s="1"/>
  <c r="N6" i="31"/>
  <c r="G19" i="33"/>
  <c r="N11" i="31"/>
  <c r="K19" i="31"/>
  <c r="D75" i="31"/>
  <c r="D80" i="31" s="1"/>
  <c r="N70" i="31"/>
  <c r="N13" i="32"/>
  <c r="G19" i="32"/>
  <c r="E19" i="32"/>
  <c r="E27" i="32" s="1"/>
  <c r="E36" i="32" s="1"/>
  <c r="N26" i="32"/>
  <c r="N74" i="32"/>
  <c r="L19" i="33"/>
  <c r="I25" i="33"/>
  <c r="I35" i="33"/>
  <c r="I36" i="33" s="1"/>
  <c r="I113" i="33" s="1"/>
  <c r="I114" i="33" s="1"/>
  <c r="M41" i="33"/>
  <c r="D90" i="34"/>
  <c r="E118" i="34"/>
  <c r="N16" i="31"/>
  <c r="L14" i="32"/>
  <c r="L27" i="32" s="1"/>
  <c r="L83" i="32" s="1"/>
  <c r="H27" i="32"/>
  <c r="H36" i="32" s="1"/>
  <c r="E27" i="33"/>
  <c r="E87" i="33" s="1"/>
  <c r="J14" i="31"/>
  <c r="N13" i="31"/>
  <c r="D19" i="31"/>
  <c r="D27" i="31" s="1"/>
  <c r="L19" i="31"/>
  <c r="I33" i="31"/>
  <c r="I34" i="31" s="1"/>
  <c r="I105" i="31" s="1"/>
  <c r="I106" i="31" s="1"/>
  <c r="N31" i="31"/>
  <c r="G14" i="32"/>
  <c r="G27" i="32" s="1"/>
  <c r="I19" i="32"/>
  <c r="N17" i="32"/>
  <c r="N29" i="32"/>
  <c r="K33" i="32"/>
  <c r="K34" i="32" s="1"/>
  <c r="K36" i="32" s="1"/>
  <c r="I33" i="32"/>
  <c r="I34" i="32" s="1"/>
  <c r="I88" i="32" s="1"/>
  <c r="I89" i="32" s="1"/>
  <c r="N49" i="32"/>
  <c r="C77" i="34"/>
  <c r="E58" i="34"/>
  <c r="E80" i="34"/>
  <c r="F14" i="33"/>
  <c r="N13" i="33"/>
  <c r="J19" i="33"/>
  <c r="K19" i="33"/>
  <c r="J41" i="33"/>
  <c r="F56" i="33"/>
  <c r="E42" i="34"/>
  <c r="C41" i="34"/>
  <c r="D41" i="34"/>
  <c r="E46" i="34"/>
  <c r="E50" i="34"/>
  <c r="E54" i="34"/>
  <c r="E57" i="34"/>
  <c r="E61" i="34"/>
  <c r="E65" i="34"/>
  <c r="E69" i="34"/>
  <c r="E102" i="34"/>
  <c r="N26" i="33"/>
  <c r="G35" i="33"/>
  <c r="G36" i="33" s="1"/>
  <c r="G92" i="33" s="1"/>
  <c r="G93" i="33" s="1"/>
  <c r="N34" i="33"/>
  <c r="L77" i="33"/>
  <c r="N97" i="33"/>
  <c r="E49" i="34"/>
  <c r="E53" i="34"/>
  <c r="E98" i="34"/>
  <c r="J14" i="33"/>
  <c r="N7" i="33"/>
  <c r="N12" i="33"/>
  <c r="K14" i="33"/>
  <c r="N15" i="33"/>
  <c r="N24" i="33"/>
  <c r="N30" i="33"/>
  <c r="N31" i="33"/>
  <c r="N32" i="33"/>
  <c r="G41" i="33"/>
  <c r="N66" i="33"/>
  <c r="N80" i="33"/>
  <c r="E44" i="34"/>
  <c r="E48" i="34"/>
  <c r="E52" i="34"/>
  <c r="E60" i="34"/>
  <c r="E64" i="34"/>
  <c r="E68" i="34"/>
  <c r="E79" i="34"/>
  <c r="N64" i="31"/>
  <c r="N54" i="31" s="1"/>
  <c r="C39" i="32"/>
  <c r="N8" i="33"/>
  <c r="N9" i="33"/>
  <c r="N10" i="33"/>
  <c r="I19" i="33"/>
  <c r="N16" i="33"/>
  <c r="N17" i="33"/>
  <c r="G25" i="33"/>
  <c r="N21" i="33"/>
  <c r="F35" i="33"/>
  <c r="F36" i="33" s="1"/>
  <c r="F113" i="33" s="1"/>
  <c r="F114" i="33" s="1"/>
  <c r="K35" i="33"/>
  <c r="K36" i="33" s="1"/>
  <c r="N33" i="33"/>
  <c r="F41" i="33"/>
  <c r="N53" i="33"/>
  <c r="K73" i="33"/>
  <c r="N79" i="33"/>
  <c r="N118" i="33"/>
  <c r="E43" i="34"/>
  <c r="E47" i="34"/>
  <c r="E51" i="34"/>
  <c r="B56" i="34"/>
  <c r="E59" i="34"/>
  <c r="E63" i="34"/>
  <c r="E67" i="34"/>
  <c r="E74" i="34"/>
  <c r="E73" i="34" s="1"/>
  <c r="E78" i="34"/>
  <c r="N5" i="33"/>
  <c r="M25" i="32"/>
  <c r="J39" i="32"/>
  <c r="J79" i="32" s="1"/>
  <c r="E39" i="32"/>
  <c r="I14" i="33"/>
  <c r="N6" i="33"/>
  <c r="G14" i="33"/>
  <c r="F19" i="33"/>
  <c r="N23" i="33"/>
  <c r="J35" i="33"/>
  <c r="J36" i="33" s="1"/>
  <c r="D41" i="33"/>
  <c r="G77" i="33"/>
  <c r="C77" i="33"/>
  <c r="C83" i="33" s="1"/>
  <c r="J77" i="33"/>
  <c r="B38" i="34"/>
  <c r="E45" i="34"/>
  <c r="D35" i="34"/>
  <c r="E35" i="34" s="1"/>
  <c r="E88" i="34"/>
  <c r="E27" i="34"/>
  <c r="B87" i="34"/>
  <c r="B108" i="34"/>
  <c r="B111" i="34" s="1"/>
  <c r="B129" i="34" s="1"/>
  <c r="B92" i="34"/>
  <c r="B93" i="34" s="1"/>
  <c r="B113" i="34"/>
  <c r="B114" i="34" s="1"/>
  <c r="B41" i="34"/>
  <c r="D77" i="34"/>
  <c r="E81" i="34"/>
  <c r="E71" i="34"/>
  <c r="C56" i="34"/>
  <c r="B77" i="34"/>
  <c r="C36" i="34"/>
  <c r="C38" i="34" s="1"/>
  <c r="C108" i="34"/>
  <c r="C111" i="34" s="1"/>
  <c r="C129" i="34" s="1"/>
  <c r="C113" i="34"/>
  <c r="C114" i="34" s="1"/>
  <c r="D108" i="34"/>
  <c r="D111" i="34" s="1"/>
  <c r="D129" i="34" s="1"/>
  <c r="D127" i="34"/>
  <c r="F92" i="33"/>
  <c r="F93" i="33" s="1"/>
  <c r="K92" i="33"/>
  <c r="K93" i="33" s="1"/>
  <c r="K113" i="33"/>
  <c r="K114" i="33" s="1"/>
  <c r="E113" i="33"/>
  <c r="E114" i="33" s="1"/>
  <c r="E92" i="33"/>
  <c r="E93" i="33" s="1"/>
  <c r="H38" i="33"/>
  <c r="C113" i="33"/>
  <c r="C114" i="33" s="1"/>
  <c r="C92" i="33"/>
  <c r="C93" i="33" s="1"/>
  <c r="G113" i="33"/>
  <c r="G114" i="33" s="1"/>
  <c r="B88" i="33"/>
  <c r="C14" i="33"/>
  <c r="C27" i="33" s="1"/>
  <c r="M108" i="33"/>
  <c r="M87" i="33"/>
  <c r="H92" i="33"/>
  <c r="H93" i="33" s="1"/>
  <c r="H113" i="33"/>
  <c r="H114" i="33" s="1"/>
  <c r="M113" i="33"/>
  <c r="M114" i="33" s="1"/>
  <c r="M92" i="33"/>
  <c r="M93" i="33" s="1"/>
  <c r="N47" i="33"/>
  <c r="I83" i="33"/>
  <c r="N75" i="33"/>
  <c r="H109" i="33"/>
  <c r="N74" i="33"/>
  <c r="L14" i="33"/>
  <c r="L27" i="33" s="1"/>
  <c r="N11" i="33"/>
  <c r="D25" i="33"/>
  <c r="L35" i="33"/>
  <c r="L36" i="33" s="1"/>
  <c r="B35" i="33"/>
  <c r="B36" i="33" s="1"/>
  <c r="N44" i="33"/>
  <c r="N54" i="33"/>
  <c r="D56" i="33"/>
  <c r="M83" i="33"/>
  <c r="F77" i="33"/>
  <c r="N78" i="33"/>
  <c r="K77" i="33"/>
  <c r="N81" i="33"/>
  <c r="F25" i="33"/>
  <c r="D19" i="33"/>
  <c r="N20" i="33"/>
  <c r="N22" i="33"/>
  <c r="D35" i="33"/>
  <c r="D36" i="33" s="1"/>
  <c r="N29" i="33"/>
  <c r="M38" i="33"/>
  <c r="E41" i="33"/>
  <c r="E83" i="33" s="1"/>
  <c r="L83" i="33"/>
  <c r="J56" i="33"/>
  <c r="N59" i="33"/>
  <c r="D83" i="32"/>
  <c r="L109" i="32"/>
  <c r="L110" i="32" s="1"/>
  <c r="L88" i="32"/>
  <c r="L89" i="32" s="1"/>
  <c r="J109" i="32"/>
  <c r="J110" i="32" s="1"/>
  <c r="J88" i="32"/>
  <c r="J89" i="32" s="1"/>
  <c r="E109" i="32"/>
  <c r="E110" i="32" s="1"/>
  <c r="M88" i="32"/>
  <c r="M89" i="32" s="1"/>
  <c r="M109" i="32"/>
  <c r="M110" i="32" s="1"/>
  <c r="M39" i="32"/>
  <c r="M79" i="32" s="1"/>
  <c r="K39" i="32"/>
  <c r="K79" i="32" s="1"/>
  <c r="K83" i="32"/>
  <c r="K104" i="32"/>
  <c r="H83" i="32"/>
  <c r="H109" i="32"/>
  <c r="H110" i="32" s="1"/>
  <c r="H88" i="32"/>
  <c r="H89" i="32" s="1"/>
  <c r="N25" i="32"/>
  <c r="N5" i="32"/>
  <c r="C14" i="32"/>
  <c r="C27" i="32" s="1"/>
  <c r="L39" i="32"/>
  <c r="N21" i="32"/>
  <c r="C54" i="32"/>
  <c r="N15" i="32"/>
  <c r="B27" i="32"/>
  <c r="L54" i="32"/>
  <c r="B79" i="32"/>
  <c r="N61" i="32"/>
  <c r="C109" i="32"/>
  <c r="C110" i="32" s="1"/>
  <c r="C88" i="32"/>
  <c r="C89" i="32" s="1"/>
  <c r="N45" i="32"/>
  <c r="H39" i="32"/>
  <c r="H79" i="32" s="1"/>
  <c r="B89" i="32"/>
  <c r="N23" i="32"/>
  <c r="G33" i="32"/>
  <c r="G34" i="32" s="1"/>
  <c r="J27" i="31"/>
  <c r="D84" i="31"/>
  <c r="D85" i="31" s="1"/>
  <c r="D105" i="31"/>
  <c r="D106" i="31" s="1"/>
  <c r="F80" i="31"/>
  <c r="F101" i="31"/>
  <c r="G14" i="31"/>
  <c r="G27" i="31" s="1"/>
  <c r="F19" i="31"/>
  <c r="F27" i="31" s="1"/>
  <c r="C33" i="31"/>
  <c r="C34" i="31" s="1"/>
  <c r="N29" i="31"/>
  <c r="G33" i="31"/>
  <c r="G34" i="31" s="1"/>
  <c r="K33" i="31"/>
  <c r="K34" i="31" s="1"/>
  <c r="H84" i="31"/>
  <c r="H85" i="31" s="1"/>
  <c r="H105" i="31"/>
  <c r="H106" i="31" s="1"/>
  <c r="N49" i="31"/>
  <c r="J39" i="31"/>
  <c r="L39" i="31"/>
  <c r="L75" i="31" s="1"/>
  <c r="K39" i="31"/>
  <c r="K75" i="31" s="1"/>
  <c r="J84" i="31"/>
  <c r="J85" i="31" s="1"/>
  <c r="J105" i="31"/>
  <c r="J106" i="31" s="1"/>
  <c r="B80" i="31"/>
  <c r="B101" i="31"/>
  <c r="C14" i="31"/>
  <c r="N5" i="31"/>
  <c r="L27" i="31"/>
  <c r="L84" i="31"/>
  <c r="L85" i="31" s="1"/>
  <c r="L105" i="31"/>
  <c r="L106" i="31" s="1"/>
  <c r="N51" i="31"/>
  <c r="H80" i="31"/>
  <c r="M75" i="31"/>
  <c r="F84" i="31"/>
  <c r="F85" i="31" s="1"/>
  <c r="C101" i="31"/>
  <c r="C80" i="31"/>
  <c r="K14" i="31"/>
  <c r="K27" i="31" s="1"/>
  <c r="E14" i="31"/>
  <c r="E27" i="31" s="1"/>
  <c r="I14" i="31"/>
  <c r="M14" i="31"/>
  <c r="M27" i="31" s="1"/>
  <c r="B27" i="31"/>
  <c r="N15" i="31"/>
  <c r="M33" i="31"/>
  <c r="M34" i="31" s="1"/>
  <c r="B84" i="31"/>
  <c r="B105" i="31"/>
  <c r="E75" i="31"/>
  <c r="I75" i="31"/>
  <c r="C19" i="31"/>
  <c r="J54" i="31"/>
  <c r="J75" i="31" s="1"/>
  <c r="N20" i="31"/>
  <c r="N25" i="31" s="1"/>
  <c r="D109" i="32" l="1"/>
  <c r="D110" i="32" s="1"/>
  <c r="H27" i="31"/>
  <c r="E105" i="31"/>
  <c r="E106" i="31" s="1"/>
  <c r="I84" i="32"/>
  <c r="I27" i="31"/>
  <c r="L104" i="32"/>
  <c r="L36" i="32"/>
  <c r="C79" i="32"/>
  <c r="G80" i="31"/>
  <c r="I84" i="31"/>
  <c r="I85" i="31" s="1"/>
  <c r="M27" i="32"/>
  <c r="N19" i="32"/>
  <c r="C127" i="34"/>
  <c r="C131" i="34" s="1"/>
  <c r="C83" i="34"/>
  <c r="E113" i="34"/>
  <c r="E114" i="34" s="1"/>
  <c r="H87" i="33"/>
  <c r="D83" i="33"/>
  <c r="J27" i="33"/>
  <c r="I109" i="32"/>
  <c r="I110" i="32" s="1"/>
  <c r="F88" i="32"/>
  <c r="F89" i="32" s="1"/>
  <c r="D36" i="32"/>
  <c r="F27" i="32"/>
  <c r="H104" i="32"/>
  <c r="J27" i="32"/>
  <c r="D100" i="31"/>
  <c r="D79" i="31"/>
  <c r="D36" i="31"/>
  <c r="K83" i="33"/>
  <c r="K109" i="33" s="1"/>
  <c r="E38" i="33"/>
  <c r="N19" i="31"/>
  <c r="D101" i="31"/>
  <c r="D103" i="31" s="1"/>
  <c r="E83" i="32"/>
  <c r="E108" i="33"/>
  <c r="C100" i="34"/>
  <c r="C104" i="34" s="1"/>
  <c r="N33" i="32"/>
  <c r="N34" i="32" s="1"/>
  <c r="E104" i="32"/>
  <c r="I92" i="33"/>
  <c r="I93" i="33" s="1"/>
  <c r="K109" i="32"/>
  <c r="K110" i="32" s="1"/>
  <c r="K88" i="32"/>
  <c r="K89" i="32" s="1"/>
  <c r="B87" i="33"/>
  <c r="B90" i="33" s="1"/>
  <c r="K27" i="33"/>
  <c r="I27" i="32"/>
  <c r="N14" i="31"/>
  <c r="D27" i="33"/>
  <c r="D87" i="33" s="1"/>
  <c r="J38" i="33"/>
  <c r="E41" i="34"/>
  <c r="G83" i="33"/>
  <c r="G109" i="33" s="1"/>
  <c r="N56" i="33"/>
  <c r="E14" i="34"/>
  <c r="J92" i="33"/>
  <c r="J93" i="33" s="1"/>
  <c r="D83" i="34"/>
  <c r="M83" i="32"/>
  <c r="M104" i="32"/>
  <c r="M36" i="32"/>
  <c r="C109" i="33"/>
  <c r="C88" i="33"/>
  <c r="J84" i="32"/>
  <c r="J105" i="32"/>
  <c r="G39" i="32"/>
  <c r="G79" i="32" s="1"/>
  <c r="N35" i="33"/>
  <c r="N36" i="33" s="1"/>
  <c r="E56" i="34"/>
  <c r="N39" i="31"/>
  <c r="N75" i="31" s="1"/>
  <c r="F27" i="33"/>
  <c r="F38" i="33" s="1"/>
  <c r="F83" i="33"/>
  <c r="F109" i="33" s="1"/>
  <c r="N41" i="33"/>
  <c r="C116" i="34"/>
  <c r="G27" i="33"/>
  <c r="J113" i="33"/>
  <c r="J114" i="33" s="1"/>
  <c r="I27" i="33"/>
  <c r="F39" i="32"/>
  <c r="F79" i="32" s="1"/>
  <c r="F84" i="32" s="1"/>
  <c r="J83" i="33"/>
  <c r="J109" i="33" s="1"/>
  <c r="C133" i="34"/>
  <c r="E92" i="34"/>
  <c r="E93" i="34" s="1"/>
  <c r="B143" i="34"/>
  <c r="D131" i="34"/>
  <c r="B90" i="34"/>
  <c r="E87" i="34"/>
  <c r="E90" i="34" s="1"/>
  <c r="D113" i="34"/>
  <c r="D114" i="34" s="1"/>
  <c r="D116" i="34" s="1"/>
  <c r="D36" i="34"/>
  <c r="D38" i="34" s="1"/>
  <c r="D92" i="34"/>
  <c r="D93" i="34" s="1"/>
  <c r="D95" i="34" s="1"/>
  <c r="E77" i="34"/>
  <c r="B83" i="34"/>
  <c r="B116" i="34"/>
  <c r="E108" i="34"/>
  <c r="D108" i="33"/>
  <c r="D38" i="33"/>
  <c r="E88" i="33"/>
  <c r="E90" i="33" s="1"/>
  <c r="E109" i="33"/>
  <c r="L109" i="33"/>
  <c r="L88" i="33"/>
  <c r="M88" i="33"/>
  <c r="M90" i="33" s="1"/>
  <c r="M109" i="33"/>
  <c r="M111" i="33" s="1"/>
  <c r="B113" i="33"/>
  <c r="B92" i="33"/>
  <c r="L108" i="33"/>
  <c r="L87" i="33"/>
  <c r="L38" i="33"/>
  <c r="N14" i="33"/>
  <c r="B111" i="33"/>
  <c r="N19" i="33"/>
  <c r="D92" i="33"/>
  <c r="D93" i="33" s="1"/>
  <c r="D113" i="33"/>
  <c r="D114" i="33" s="1"/>
  <c r="K88" i="33"/>
  <c r="N25" i="33"/>
  <c r="D109" i="33"/>
  <c r="D88" i="33"/>
  <c r="L92" i="33"/>
  <c r="L93" i="33" s="1"/>
  <c r="L113" i="33"/>
  <c r="L114" i="33" s="1"/>
  <c r="N73" i="33"/>
  <c r="C108" i="33"/>
  <c r="C87" i="33"/>
  <c r="C38" i="33"/>
  <c r="H111" i="33"/>
  <c r="B38" i="33"/>
  <c r="F88" i="33"/>
  <c r="N77" i="33"/>
  <c r="I109" i="33"/>
  <c r="I88" i="33"/>
  <c r="H90" i="33"/>
  <c r="B36" i="32"/>
  <c r="B104" i="32"/>
  <c r="B83" i="32"/>
  <c r="H105" i="32"/>
  <c r="H84" i="32"/>
  <c r="H86" i="32" s="1"/>
  <c r="J104" i="32"/>
  <c r="J36" i="32"/>
  <c r="J83" i="32"/>
  <c r="J86" i="32" s="1"/>
  <c r="J91" i="32" s="1"/>
  <c r="B105" i="32"/>
  <c r="B84" i="32"/>
  <c r="G84" i="32"/>
  <c r="G105" i="32"/>
  <c r="N14" i="32"/>
  <c r="G109" i="32"/>
  <c r="G88" i="32"/>
  <c r="L79" i="32"/>
  <c r="K84" i="32"/>
  <c r="K86" i="32" s="1"/>
  <c r="K105" i="32"/>
  <c r="K107" i="32" s="1"/>
  <c r="C104" i="32"/>
  <c r="C83" i="32"/>
  <c r="C36" i="32"/>
  <c r="D54" i="32"/>
  <c r="D79" i="32" s="1"/>
  <c r="C84" i="32"/>
  <c r="C105" i="32"/>
  <c r="N51" i="32"/>
  <c r="N39" i="32" s="1"/>
  <c r="M105" i="32"/>
  <c r="M84" i="32"/>
  <c r="M86" i="32" s="1"/>
  <c r="G104" i="32"/>
  <c r="G107" i="32" s="1"/>
  <c r="G125" i="32" s="1"/>
  <c r="G83" i="32"/>
  <c r="G36" i="32"/>
  <c r="F100" i="31"/>
  <c r="F103" i="31" s="1"/>
  <c r="F108" i="31" s="1"/>
  <c r="F79" i="31"/>
  <c r="F82" i="31" s="1"/>
  <c r="F87" i="31" s="1"/>
  <c r="F36" i="31"/>
  <c r="E79" i="31"/>
  <c r="E36" i="31"/>
  <c r="E100" i="31"/>
  <c r="B106" i="31"/>
  <c r="B100" i="31"/>
  <c r="B79" i="31"/>
  <c r="B36" i="31"/>
  <c r="K100" i="31"/>
  <c r="K103" i="31" s="1"/>
  <c r="K79" i="31"/>
  <c r="K36" i="31"/>
  <c r="C27" i="31"/>
  <c r="N27" i="31" s="1"/>
  <c r="K101" i="31"/>
  <c r="K80" i="31"/>
  <c r="G105" i="31"/>
  <c r="G106" i="31" s="1"/>
  <c r="G84" i="31"/>
  <c r="G85" i="31" s="1"/>
  <c r="G100" i="31"/>
  <c r="G103" i="31" s="1"/>
  <c r="G36" i="31"/>
  <c r="G79" i="31"/>
  <c r="G82" i="31" s="1"/>
  <c r="E101" i="31"/>
  <c r="E80" i="31"/>
  <c r="L80" i="31"/>
  <c r="L101" i="31"/>
  <c r="K105" i="31"/>
  <c r="K106" i="31" s="1"/>
  <c r="K84" i="31"/>
  <c r="K85" i="31" s="1"/>
  <c r="J80" i="31"/>
  <c r="J101" i="31"/>
  <c r="B85" i="31"/>
  <c r="M79" i="31"/>
  <c r="M36" i="31"/>
  <c r="M100" i="31"/>
  <c r="M101" i="31"/>
  <c r="M80" i="31"/>
  <c r="L100" i="31"/>
  <c r="L36" i="31"/>
  <c r="L79" i="31"/>
  <c r="J100" i="31"/>
  <c r="J103" i="31" s="1"/>
  <c r="J108" i="31" s="1"/>
  <c r="J79" i="31"/>
  <c r="J82" i="31" s="1"/>
  <c r="J87" i="31" s="1"/>
  <c r="J36" i="31"/>
  <c r="N33" i="31"/>
  <c r="N34" i="31" s="1"/>
  <c r="I101" i="31"/>
  <c r="I80" i="31"/>
  <c r="M105" i="31"/>
  <c r="M106" i="31" s="1"/>
  <c r="M84" i="31"/>
  <c r="M85" i="31" s="1"/>
  <c r="I79" i="31"/>
  <c r="I36" i="31"/>
  <c r="I100" i="31"/>
  <c r="I103" i="31" s="1"/>
  <c r="I108" i="31" s="1"/>
  <c r="H100" i="31"/>
  <c r="H103" i="31" s="1"/>
  <c r="H108" i="31" s="1"/>
  <c r="H36" i="31"/>
  <c r="H79" i="31"/>
  <c r="H82" i="31" s="1"/>
  <c r="H87" i="31" s="1"/>
  <c r="H119" i="31"/>
  <c r="D82" i="31"/>
  <c r="C105" i="31"/>
  <c r="C106" i="31" s="1"/>
  <c r="C84" i="31"/>
  <c r="C85" i="31" s="1"/>
  <c r="N101" i="31" l="1"/>
  <c r="G108" i="31"/>
  <c r="H107" i="32"/>
  <c r="E36" i="34"/>
  <c r="E38" i="34" s="1"/>
  <c r="E135" i="34" s="1"/>
  <c r="E95" i="34"/>
  <c r="C121" i="34"/>
  <c r="C125" i="34" s="1"/>
  <c r="C139" i="34" s="1"/>
  <c r="G88" i="33"/>
  <c r="F87" i="33"/>
  <c r="F90" i="33" s="1"/>
  <c r="J87" i="33"/>
  <c r="J108" i="33"/>
  <c r="J111" i="33" s="1"/>
  <c r="N27" i="33"/>
  <c r="F104" i="32"/>
  <c r="F83" i="32"/>
  <c r="F86" i="32" s="1"/>
  <c r="F36" i="32"/>
  <c r="N27" i="32"/>
  <c r="F105" i="32"/>
  <c r="F107" i="32" s="1"/>
  <c r="F112" i="32" s="1"/>
  <c r="J107" i="32"/>
  <c r="J112" i="32" s="1"/>
  <c r="M103" i="31"/>
  <c r="M108" i="31" s="1"/>
  <c r="K108" i="31"/>
  <c r="M107" i="32"/>
  <c r="C90" i="33"/>
  <c r="C95" i="33" s="1"/>
  <c r="C143" i="33" s="1"/>
  <c r="C111" i="33"/>
  <c r="C116" i="33" s="1"/>
  <c r="C121" i="33" s="1"/>
  <c r="C125" i="33" s="1"/>
  <c r="F108" i="33"/>
  <c r="F111" i="33" s="1"/>
  <c r="L103" i="31"/>
  <c r="L108" i="31" s="1"/>
  <c r="L113" i="31" s="1"/>
  <c r="L117" i="31" s="1"/>
  <c r="G87" i="31"/>
  <c r="J88" i="33"/>
  <c r="J90" i="33" s="1"/>
  <c r="I83" i="32"/>
  <c r="I86" i="32" s="1"/>
  <c r="I123" i="32" s="1"/>
  <c r="I104" i="32"/>
  <c r="I107" i="32" s="1"/>
  <c r="I36" i="32"/>
  <c r="H121" i="31"/>
  <c r="H123" i="31" s="1"/>
  <c r="G86" i="32"/>
  <c r="G123" i="32" s="1"/>
  <c r="G127" i="32" s="1"/>
  <c r="K38" i="33"/>
  <c r="K87" i="33"/>
  <c r="K90" i="33" s="1"/>
  <c r="K95" i="33" s="1"/>
  <c r="K108" i="33"/>
  <c r="K111" i="33" s="1"/>
  <c r="L90" i="33"/>
  <c r="L127" i="33" s="1"/>
  <c r="N109" i="33"/>
  <c r="J119" i="31"/>
  <c r="L82" i="31"/>
  <c r="L87" i="31" s="1"/>
  <c r="L92" i="31" s="1"/>
  <c r="L96" i="31" s="1"/>
  <c r="N80" i="31"/>
  <c r="K82" i="31"/>
  <c r="K119" i="31" s="1"/>
  <c r="N83" i="33"/>
  <c r="L111" i="33"/>
  <c r="L116" i="33" s="1"/>
  <c r="L144" i="33" s="1"/>
  <c r="E83" i="34"/>
  <c r="E109" i="34" s="1"/>
  <c r="E111" i="34" s="1"/>
  <c r="G87" i="33"/>
  <c r="G108" i="33"/>
  <c r="G111" i="33" s="1"/>
  <c r="G116" i="33" s="1"/>
  <c r="G38" i="33"/>
  <c r="I108" i="33"/>
  <c r="I111" i="33" s="1"/>
  <c r="I87" i="33"/>
  <c r="I90" i="33" s="1"/>
  <c r="I38" i="33"/>
  <c r="D100" i="34"/>
  <c r="D104" i="34" s="1"/>
  <c r="B95" i="34"/>
  <c r="B127" i="34"/>
  <c r="D121" i="34"/>
  <c r="D125" i="34" s="1"/>
  <c r="D133" i="34"/>
  <c r="E127" i="34"/>
  <c r="B121" i="34"/>
  <c r="M95" i="33"/>
  <c r="M127" i="33"/>
  <c r="J95" i="33"/>
  <c r="J127" i="33"/>
  <c r="B127" i="33"/>
  <c r="B93" i="33"/>
  <c r="N93" i="33" s="1"/>
  <c r="N92" i="33"/>
  <c r="M116" i="33"/>
  <c r="M129" i="33"/>
  <c r="E111" i="33"/>
  <c r="H116" i="33"/>
  <c r="H129" i="33"/>
  <c r="B129" i="33"/>
  <c r="N113" i="33"/>
  <c r="N114" i="33" s="1"/>
  <c r="B114" i="33"/>
  <c r="B116" i="33" s="1"/>
  <c r="D111" i="33"/>
  <c r="D90" i="33"/>
  <c r="H95" i="33"/>
  <c r="H127" i="33"/>
  <c r="E95" i="33"/>
  <c r="E127" i="33"/>
  <c r="M91" i="32"/>
  <c r="M123" i="32"/>
  <c r="M112" i="32"/>
  <c r="M125" i="32"/>
  <c r="K112" i="32"/>
  <c r="K125" i="32"/>
  <c r="H91" i="32"/>
  <c r="H123" i="32"/>
  <c r="D105" i="32"/>
  <c r="D107" i="32" s="1"/>
  <c r="D84" i="32"/>
  <c r="D86" i="32" s="1"/>
  <c r="C86" i="32"/>
  <c r="J140" i="32"/>
  <c r="J117" i="32"/>
  <c r="J121" i="32" s="1"/>
  <c r="I91" i="32"/>
  <c r="E54" i="32"/>
  <c r="E79" i="32" s="1"/>
  <c r="N64" i="32"/>
  <c r="N54" i="32" s="1"/>
  <c r="N79" i="32" s="1"/>
  <c r="K91" i="32"/>
  <c r="K123" i="32"/>
  <c r="L105" i="32"/>
  <c r="L107" i="32" s="1"/>
  <c r="L84" i="32"/>
  <c r="L86" i="32" s="1"/>
  <c r="J96" i="32"/>
  <c r="J100" i="32" s="1"/>
  <c r="J139" i="32"/>
  <c r="J123" i="32"/>
  <c r="B86" i="32"/>
  <c r="N83" i="32"/>
  <c r="H112" i="32"/>
  <c r="H125" i="32"/>
  <c r="C107" i="32"/>
  <c r="I112" i="32"/>
  <c r="I125" i="32"/>
  <c r="G89" i="32"/>
  <c r="N89" i="32" s="1"/>
  <c r="N88" i="32"/>
  <c r="J125" i="32"/>
  <c r="G110" i="32"/>
  <c r="G112" i="32" s="1"/>
  <c r="G131" i="32" s="1"/>
  <c r="N109" i="32"/>
  <c r="N110" i="32" s="1"/>
  <c r="J131" i="32"/>
  <c r="J129" i="32"/>
  <c r="N104" i="32"/>
  <c r="B107" i="32"/>
  <c r="L125" i="31"/>
  <c r="M127" i="31"/>
  <c r="N84" i="31"/>
  <c r="B82" i="31"/>
  <c r="N105" i="31"/>
  <c r="N106" i="31" s="1"/>
  <c r="F136" i="31"/>
  <c r="F92" i="31"/>
  <c r="F96" i="31" s="1"/>
  <c r="H136" i="31"/>
  <c r="H92" i="31"/>
  <c r="H96" i="31" s="1"/>
  <c r="I137" i="31"/>
  <c r="I113" i="31"/>
  <c r="I117" i="31" s="1"/>
  <c r="I82" i="31"/>
  <c r="J136" i="31"/>
  <c r="J92" i="31"/>
  <c r="J96" i="31" s="1"/>
  <c r="G121" i="31"/>
  <c r="K127" i="31"/>
  <c r="F119" i="31"/>
  <c r="K137" i="31"/>
  <c r="K113" i="31"/>
  <c r="K117" i="31" s="1"/>
  <c r="H125" i="31"/>
  <c r="H127" i="31"/>
  <c r="I127" i="31"/>
  <c r="M137" i="31"/>
  <c r="M113" i="31"/>
  <c r="M117" i="31" s="1"/>
  <c r="M82" i="31"/>
  <c r="G136" i="31"/>
  <c r="G92" i="31"/>
  <c r="G96" i="31" s="1"/>
  <c r="G119" i="31"/>
  <c r="K121" i="31"/>
  <c r="B103" i="31"/>
  <c r="E82" i="31"/>
  <c r="F113" i="31"/>
  <c r="F117" i="31" s="1"/>
  <c r="F137" i="31"/>
  <c r="G137" i="31"/>
  <c r="G113" i="31"/>
  <c r="G117" i="31" s="1"/>
  <c r="C119" i="31"/>
  <c r="C100" i="31"/>
  <c r="C103" i="31" s="1"/>
  <c r="C108" i="31" s="1"/>
  <c r="C79" i="31"/>
  <c r="C82" i="31" s="1"/>
  <c r="C87" i="31" s="1"/>
  <c r="C36" i="31"/>
  <c r="D87" i="31"/>
  <c r="D119" i="31"/>
  <c r="D123" i="31" s="1"/>
  <c r="J113" i="31"/>
  <c r="J117" i="31" s="1"/>
  <c r="J137" i="31"/>
  <c r="H113" i="31"/>
  <c r="H117" i="31" s="1"/>
  <c r="H137" i="31"/>
  <c r="I121" i="31"/>
  <c r="J127" i="31"/>
  <c r="J125" i="31"/>
  <c r="J129" i="31" s="1"/>
  <c r="J121" i="31"/>
  <c r="J123" i="31" s="1"/>
  <c r="M121" i="31"/>
  <c r="N85" i="31"/>
  <c r="G127" i="31"/>
  <c r="G125" i="31"/>
  <c r="D108" i="31"/>
  <c r="D121" i="31"/>
  <c r="E103" i="31"/>
  <c r="F127" i="31"/>
  <c r="F125" i="31"/>
  <c r="F121" i="31"/>
  <c r="L121" i="31" l="1"/>
  <c r="F125" i="32"/>
  <c r="L127" i="31"/>
  <c r="G129" i="31"/>
  <c r="L137" i="31"/>
  <c r="L129" i="31"/>
  <c r="K123" i="31"/>
  <c r="N38" i="33"/>
  <c r="C135" i="34"/>
  <c r="C137" i="34" s="1"/>
  <c r="E133" i="34"/>
  <c r="E137" i="34" s="1"/>
  <c r="E100" i="34"/>
  <c r="E104" i="34" s="1"/>
  <c r="D135" i="34"/>
  <c r="D137" i="34" s="1"/>
  <c r="J116" i="33"/>
  <c r="J135" i="33" s="1"/>
  <c r="J129" i="33"/>
  <c r="J131" i="33" s="1"/>
  <c r="N36" i="32"/>
  <c r="F123" i="32"/>
  <c r="F127" i="32" s="1"/>
  <c r="F91" i="32"/>
  <c r="H127" i="32"/>
  <c r="K116" i="33"/>
  <c r="K129" i="33"/>
  <c r="L136" i="31"/>
  <c r="K127" i="32"/>
  <c r="L129" i="33"/>
  <c r="L131" i="33" s="1"/>
  <c r="L135" i="33"/>
  <c r="C133" i="33"/>
  <c r="C144" i="33"/>
  <c r="L121" i="33"/>
  <c r="L125" i="33" s="1"/>
  <c r="C100" i="33"/>
  <c r="C104" i="33" s="1"/>
  <c r="C129" i="33"/>
  <c r="L119" i="31"/>
  <c r="L123" i="31" s="1"/>
  <c r="C135" i="33"/>
  <c r="N88" i="33"/>
  <c r="J142" i="32"/>
  <c r="L95" i="33"/>
  <c r="K127" i="33"/>
  <c r="C127" i="33"/>
  <c r="G129" i="33"/>
  <c r="C121" i="31"/>
  <c r="C123" i="31" s="1"/>
  <c r="H131" i="33"/>
  <c r="I116" i="33"/>
  <c r="I121" i="33" s="1"/>
  <c r="I125" i="33" s="1"/>
  <c r="I129" i="33"/>
  <c r="I95" i="33"/>
  <c r="I143" i="33" s="1"/>
  <c r="I127" i="33"/>
  <c r="J133" i="32"/>
  <c r="J135" i="32"/>
  <c r="N108" i="33"/>
  <c r="N111" i="33" s="1"/>
  <c r="N129" i="33" s="1"/>
  <c r="C131" i="33"/>
  <c r="N87" i="33"/>
  <c r="G90" i="33"/>
  <c r="K87" i="31"/>
  <c r="K125" i="31" s="1"/>
  <c r="K129" i="31" s="1"/>
  <c r="L131" i="31"/>
  <c r="J127" i="32"/>
  <c r="E116" i="34"/>
  <c r="E121" i="34" s="1"/>
  <c r="E125" i="34" s="1"/>
  <c r="E129" i="34"/>
  <c r="E131" i="34" s="1"/>
  <c r="D139" i="34"/>
  <c r="B100" i="34"/>
  <c r="B104" i="34" s="1"/>
  <c r="B133" i="34"/>
  <c r="B125" i="34"/>
  <c r="B135" i="34"/>
  <c r="B141" i="34"/>
  <c r="E145" i="34" s="1"/>
  <c r="B131" i="34"/>
  <c r="B121" i="33"/>
  <c r="B144" i="33"/>
  <c r="B135" i="33"/>
  <c r="D116" i="33"/>
  <c r="D129" i="33"/>
  <c r="F95" i="33"/>
  <c r="F127" i="33"/>
  <c r="D95" i="33"/>
  <c r="D127" i="33"/>
  <c r="L143" i="33"/>
  <c r="L146" i="33" s="1"/>
  <c r="L100" i="33"/>
  <c r="L104" i="33" s="1"/>
  <c r="L139" i="33" s="1"/>
  <c r="G144" i="33"/>
  <c r="G121" i="33"/>
  <c r="G125" i="33" s="1"/>
  <c r="G135" i="33"/>
  <c r="K144" i="33"/>
  <c r="K121" i="33"/>
  <c r="K125" i="33" s="1"/>
  <c r="K135" i="33"/>
  <c r="F116" i="33"/>
  <c r="F129" i="33"/>
  <c r="K131" i="33"/>
  <c r="M131" i="33"/>
  <c r="H143" i="33"/>
  <c r="H100" i="33"/>
  <c r="H104" i="33" s="1"/>
  <c r="H133" i="33"/>
  <c r="J121" i="33"/>
  <c r="J125" i="33" s="1"/>
  <c r="J144" i="33"/>
  <c r="I135" i="33"/>
  <c r="E143" i="33"/>
  <c r="E100" i="33"/>
  <c r="E104" i="33" s="1"/>
  <c r="E133" i="33"/>
  <c r="E116" i="33"/>
  <c r="E129" i="33"/>
  <c r="E131" i="33" s="1"/>
  <c r="M121" i="33"/>
  <c r="M125" i="33" s="1"/>
  <c r="M144" i="33"/>
  <c r="M135" i="33"/>
  <c r="B131" i="33"/>
  <c r="C139" i="33"/>
  <c r="J143" i="33"/>
  <c r="J100" i="33"/>
  <c r="J104" i="33" s="1"/>
  <c r="J133" i="33"/>
  <c r="K143" i="33"/>
  <c r="K100" i="33"/>
  <c r="K104" i="33" s="1"/>
  <c r="K133" i="33"/>
  <c r="M100" i="33"/>
  <c r="M104" i="33" s="1"/>
  <c r="M143" i="33"/>
  <c r="M133" i="33"/>
  <c r="I100" i="33"/>
  <c r="I104" i="33" s="1"/>
  <c r="I133" i="33"/>
  <c r="L133" i="33"/>
  <c r="H121" i="33"/>
  <c r="H125" i="33" s="1"/>
  <c r="H144" i="33"/>
  <c r="H135" i="33"/>
  <c r="B95" i="33"/>
  <c r="C146" i="33"/>
  <c r="I96" i="32"/>
  <c r="I100" i="32" s="1"/>
  <c r="I139" i="32"/>
  <c r="I129" i="32"/>
  <c r="E105" i="32"/>
  <c r="E107" i="32" s="1"/>
  <c r="E84" i="32"/>
  <c r="H96" i="32"/>
  <c r="H100" i="32" s="1"/>
  <c r="H139" i="32"/>
  <c r="H129" i="32"/>
  <c r="B112" i="32"/>
  <c r="B125" i="32"/>
  <c r="G117" i="32"/>
  <c r="G121" i="32" s="1"/>
  <c r="G140" i="32"/>
  <c r="C91" i="32"/>
  <c r="C123" i="32"/>
  <c r="M127" i="32"/>
  <c r="C112" i="32"/>
  <c r="C125" i="32"/>
  <c r="L91" i="32"/>
  <c r="L123" i="32"/>
  <c r="D112" i="32"/>
  <c r="D125" i="32"/>
  <c r="F139" i="32"/>
  <c r="F96" i="32"/>
  <c r="F100" i="32" s="1"/>
  <c r="F129" i="32"/>
  <c r="L112" i="32"/>
  <c r="L125" i="32"/>
  <c r="F140" i="32"/>
  <c r="F117" i="32"/>
  <c r="F121" i="32" s="1"/>
  <c r="F131" i="32"/>
  <c r="M117" i="32"/>
  <c r="M121" i="32" s="1"/>
  <c r="M140" i="32"/>
  <c r="M131" i="32"/>
  <c r="H140" i="32"/>
  <c r="H117" i="32"/>
  <c r="H121" i="32" s="1"/>
  <c r="H131" i="32"/>
  <c r="N105" i="32"/>
  <c r="N107" i="32" s="1"/>
  <c r="I117" i="32"/>
  <c r="I121" i="32" s="1"/>
  <c r="I140" i="32"/>
  <c r="I131" i="32"/>
  <c r="B91" i="32"/>
  <c r="B123" i="32"/>
  <c r="K139" i="32"/>
  <c r="K96" i="32"/>
  <c r="K100" i="32" s="1"/>
  <c r="K129" i="32"/>
  <c r="I127" i="32"/>
  <c r="D91" i="32"/>
  <c r="D123" i="32"/>
  <c r="G91" i="32"/>
  <c r="K140" i="32"/>
  <c r="K117" i="32"/>
  <c r="K121" i="32" s="1"/>
  <c r="K131" i="32"/>
  <c r="M139" i="32"/>
  <c r="M96" i="32"/>
  <c r="M100" i="32" s="1"/>
  <c r="M129" i="32"/>
  <c r="D113" i="31"/>
  <c r="D117" i="31" s="1"/>
  <c r="D137" i="31"/>
  <c r="D127" i="31"/>
  <c r="B108" i="31"/>
  <c r="B121" i="31"/>
  <c r="H139" i="31"/>
  <c r="D136" i="31"/>
  <c r="D92" i="31"/>
  <c r="D96" i="31" s="1"/>
  <c r="D125" i="31"/>
  <c r="C137" i="31"/>
  <c r="C113" i="31"/>
  <c r="C117" i="31" s="1"/>
  <c r="N100" i="31"/>
  <c r="N103" i="31" s="1"/>
  <c r="M87" i="31"/>
  <c r="M119" i="31"/>
  <c r="M123" i="31" s="1"/>
  <c r="H129" i="31"/>
  <c r="F123" i="31"/>
  <c r="F131" i="31"/>
  <c r="E108" i="31"/>
  <c r="E121" i="31"/>
  <c r="C127" i="31"/>
  <c r="C125" i="31"/>
  <c r="N36" i="31"/>
  <c r="G123" i="31"/>
  <c r="J131" i="31"/>
  <c r="F139" i="31"/>
  <c r="B87" i="31"/>
  <c r="B119" i="31"/>
  <c r="B123" i="31" s="1"/>
  <c r="G139" i="31"/>
  <c r="I87" i="31"/>
  <c r="I119" i="31"/>
  <c r="I123" i="31" s="1"/>
  <c r="K136" i="31"/>
  <c r="K139" i="31" s="1"/>
  <c r="K92" i="31"/>
  <c r="K96" i="31" s="1"/>
  <c r="K131" i="31" s="1"/>
  <c r="F129" i="31"/>
  <c r="L139" i="31"/>
  <c r="C136" i="31"/>
  <c r="C92" i="31"/>
  <c r="C96" i="31" s="1"/>
  <c r="E87" i="31"/>
  <c r="E119" i="31"/>
  <c r="G131" i="31"/>
  <c r="J139" i="31"/>
  <c r="H131" i="31"/>
  <c r="N79" i="31"/>
  <c r="N82" i="31" s="1"/>
  <c r="N119" i="31" s="1"/>
  <c r="C139" i="31" l="1"/>
  <c r="K137" i="33"/>
  <c r="D131" i="31"/>
  <c r="I144" i="33"/>
  <c r="I146" i="33" s="1"/>
  <c r="L137" i="33"/>
  <c r="C131" i="31"/>
  <c r="J137" i="33"/>
  <c r="E139" i="34"/>
  <c r="N90" i="33"/>
  <c r="N127" i="33" s="1"/>
  <c r="N131" i="33" s="1"/>
  <c r="C137" i="33"/>
  <c r="B127" i="32"/>
  <c r="M142" i="32"/>
  <c r="K133" i="32"/>
  <c r="H133" i="32"/>
  <c r="D129" i="31"/>
  <c r="D131" i="33"/>
  <c r="E123" i="31"/>
  <c r="F142" i="32"/>
  <c r="C127" i="32"/>
  <c r="I131" i="33"/>
  <c r="M133" i="32"/>
  <c r="M139" i="33"/>
  <c r="H146" i="33"/>
  <c r="I139" i="33"/>
  <c r="N116" i="33"/>
  <c r="N135" i="33" s="1"/>
  <c r="I137" i="33"/>
  <c r="K139" i="33"/>
  <c r="G95" i="33"/>
  <c r="G127" i="33"/>
  <c r="G131" i="33" s="1"/>
  <c r="D127" i="32"/>
  <c r="K135" i="32"/>
  <c r="F135" i="32"/>
  <c r="H142" i="32"/>
  <c r="M146" i="33"/>
  <c r="J139" i="33"/>
  <c r="D14" i="29"/>
  <c r="D10" i="29"/>
  <c r="D13" i="29"/>
  <c r="D16" i="29"/>
  <c r="D12" i="29"/>
  <c r="D15" i="29"/>
  <c r="D11" i="29"/>
  <c r="B139" i="34"/>
  <c r="B137" i="34"/>
  <c r="D143" i="33"/>
  <c r="D100" i="33"/>
  <c r="D104" i="33" s="1"/>
  <c r="D133" i="33"/>
  <c r="M137" i="33"/>
  <c r="J146" i="33"/>
  <c r="F121" i="33"/>
  <c r="F125" i="33" s="1"/>
  <c r="F144" i="33"/>
  <c r="F135" i="33"/>
  <c r="B143" i="33"/>
  <c r="B100" i="33"/>
  <c r="B133" i="33"/>
  <c r="B137" i="33" s="1"/>
  <c r="K146" i="33"/>
  <c r="H137" i="33"/>
  <c r="F131" i="33"/>
  <c r="E121" i="33"/>
  <c r="E125" i="33" s="1"/>
  <c r="E139" i="33" s="1"/>
  <c r="E144" i="33"/>
  <c r="E146" i="33" s="1"/>
  <c r="E135" i="33"/>
  <c r="E137" i="33" s="1"/>
  <c r="D121" i="33"/>
  <c r="D125" i="33" s="1"/>
  <c r="D144" i="33"/>
  <c r="D135" i="33"/>
  <c r="H139" i="33"/>
  <c r="F143" i="33"/>
  <c r="F100" i="33"/>
  <c r="F104" i="33" s="1"/>
  <c r="F133" i="33"/>
  <c r="B125" i="33"/>
  <c r="N112" i="32"/>
  <c r="N131" i="32" s="1"/>
  <c r="N125" i="32"/>
  <c r="B139" i="32"/>
  <c r="B96" i="32"/>
  <c r="B129" i="32"/>
  <c r="L96" i="32"/>
  <c r="L100" i="32" s="1"/>
  <c r="L139" i="32"/>
  <c r="L129" i="32"/>
  <c r="L140" i="32"/>
  <c r="L117" i="32"/>
  <c r="L121" i="32" s="1"/>
  <c r="L131" i="32"/>
  <c r="C139" i="32"/>
  <c r="C96" i="32"/>
  <c r="C100" i="32" s="1"/>
  <c r="C129" i="32"/>
  <c r="I133" i="32"/>
  <c r="D96" i="32"/>
  <c r="D100" i="32" s="1"/>
  <c r="D139" i="32"/>
  <c r="D129" i="32"/>
  <c r="K142" i="32"/>
  <c r="F133" i="32"/>
  <c r="D140" i="32"/>
  <c r="D117" i="32"/>
  <c r="D121" i="32" s="1"/>
  <c r="D131" i="32"/>
  <c r="C117" i="32"/>
  <c r="C121" i="32" s="1"/>
  <c r="C140" i="32"/>
  <c r="C131" i="32"/>
  <c r="H135" i="32"/>
  <c r="I142" i="32"/>
  <c r="G139" i="32"/>
  <c r="G142" i="32" s="1"/>
  <c r="G96" i="32"/>
  <c r="G100" i="32" s="1"/>
  <c r="G135" i="32" s="1"/>
  <c r="G129" i="32"/>
  <c r="G133" i="32" s="1"/>
  <c r="E112" i="32"/>
  <c r="E125" i="32"/>
  <c r="M135" i="32"/>
  <c r="L127" i="32"/>
  <c r="B140" i="32"/>
  <c r="B117" i="32"/>
  <c r="B131" i="32"/>
  <c r="E86" i="32"/>
  <c r="N84" i="32"/>
  <c r="N86" i="32" s="1"/>
  <c r="N123" i="32" s="1"/>
  <c r="I135" i="32"/>
  <c r="B113" i="31"/>
  <c r="B137" i="31"/>
  <c r="B127" i="31"/>
  <c r="E92" i="31"/>
  <c r="E96" i="31" s="1"/>
  <c r="E136" i="31"/>
  <c r="E125" i="31"/>
  <c r="I92" i="31"/>
  <c r="I96" i="31" s="1"/>
  <c r="I131" i="31" s="1"/>
  <c r="I136" i="31"/>
  <c r="I139" i="31" s="1"/>
  <c r="I125" i="31"/>
  <c r="I129" i="31" s="1"/>
  <c r="E137" i="31"/>
  <c r="E113" i="31"/>
  <c r="E117" i="31" s="1"/>
  <c r="E127" i="31"/>
  <c r="D139" i="31"/>
  <c r="B136" i="31"/>
  <c r="N87" i="31"/>
  <c r="N125" i="31" s="1"/>
  <c r="B92" i="31"/>
  <c r="B125" i="31"/>
  <c r="B129" i="31" s="1"/>
  <c r="C129" i="31"/>
  <c r="N108" i="31"/>
  <c r="N127" i="31" s="1"/>
  <c r="N121" i="31"/>
  <c r="N123" i="31" s="1"/>
  <c r="M92" i="31"/>
  <c r="M96" i="31" s="1"/>
  <c r="M131" i="31" s="1"/>
  <c r="M136" i="31"/>
  <c r="M139" i="31" s="1"/>
  <c r="M125" i="31"/>
  <c r="M129" i="31" s="1"/>
  <c r="N127" i="32" l="1"/>
  <c r="N144" i="33"/>
  <c r="L142" i="32"/>
  <c r="N121" i="33"/>
  <c r="N125" i="33" s="1"/>
  <c r="E139" i="31"/>
  <c r="G100" i="33"/>
  <c r="G104" i="33" s="1"/>
  <c r="G139" i="33" s="1"/>
  <c r="G143" i="33"/>
  <c r="G146" i="33" s="1"/>
  <c r="G133" i="33"/>
  <c r="G137" i="33" s="1"/>
  <c r="F137" i="33"/>
  <c r="N95" i="33"/>
  <c r="N133" i="33" s="1"/>
  <c r="N137" i="33" s="1"/>
  <c r="F139" i="33"/>
  <c r="B146" i="33"/>
  <c r="D137" i="33"/>
  <c r="D139" i="33"/>
  <c r="F146" i="33"/>
  <c r="B104" i="33"/>
  <c r="B139" i="33" s="1"/>
  <c r="D146" i="33"/>
  <c r="D133" i="32"/>
  <c r="C133" i="32"/>
  <c r="L135" i="32"/>
  <c r="B142" i="32"/>
  <c r="E91" i="32"/>
  <c r="E123" i="32"/>
  <c r="E127" i="32" s="1"/>
  <c r="B121" i="32"/>
  <c r="D142" i="32"/>
  <c r="C135" i="32"/>
  <c r="B133" i="32"/>
  <c r="E117" i="32"/>
  <c r="E121" i="32" s="1"/>
  <c r="E140" i="32"/>
  <c r="N140" i="32" s="1"/>
  <c r="E131" i="32"/>
  <c r="D135" i="32"/>
  <c r="C142" i="32"/>
  <c r="L133" i="32"/>
  <c r="B100" i="32"/>
  <c r="N129" i="31"/>
  <c r="N113" i="31"/>
  <c r="N117" i="31" s="1"/>
  <c r="B117" i="31"/>
  <c r="N92" i="31"/>
  <c r="N96" i="31" s="1"/>
  <c r="B96" i="31"/>
  <c r="E131" i="31"/>
  <c r="B139" i="31"/>
  <c r="N136" i="31"/>
  <c r="E129" i="31"/>
  <c r="N137" i="31"/>
  <c r="B135" i="32" l="1"/>
  <c r="N139" i="31"/>
  <c r="N100" i="33"/>
  <c r="N104" i="33" s="1"/>
  <c r="N139" i="33" s="1"/>
  <c r="N117" i="32"/>
  <c r="N121" i="32" s="1"/>
  <c r="N131" i="31"/>
  <c r="N143" i="33"/>
  <c r="N146" i="33"/>
  <c r="E96" i="32"/>
  <c r="E139" i="32"/>
  <c r="E129" i="32"/>
  <c r="E133" i="32" s="1"/>
  <c r="N91" i="32"/>
  <c r="N129" i="32" s="1"/>
  <c r="N133" i="32" s="1"/>
  <c r="B131" i="31"/>
  <c r="E142" i="32" l="1"/>
  <c r="N142" i="32" s="1"/>
  <c r="N139" i="32"/>
  <c r="E100" i="32"/>
  <c r="E135" i="32" s="1"/>
  <c r="N96" i="32"/>
  <c r="N100" i="32" s="1"/>
  <c r="N135" i="32" s="1"/>
  <c r="E13" i="29" l="1"/>
  <c r="F13" i="29" s="1"/>
  <c r="N41" i="27" l="1"/>
  <c r="M41" i="27"/>
  <c r="L41" i="27"/>
  <c r="K41" i="27"/>
  <c r="J41" i="27"/>
  <c r="I41" i="27"/>
  <c r="H41" i="27"/>
  <c r="G41" i="27"/>
  <c r="F41" i="27"/>
  <c r="E41" i="27"/>
  <c r="D41" i="27"/>
  <c r="C41" i="27"/>
  <c r="O40" i="27"/>
  <c r="E40" i="28" s="1"/>
  <c r="O39" i="27"/>
  <c r="E39" i="28" s="1"/>
  <c r="O38" i="27"/>
  <c r="E38" i="28" s="1"/>
  <c r="O37" i="27"/>
  <c r="E37" i="28" s="1"/>
  <c r="O36" i="27"/>
  <c r="E36" i="28" s="1"/>
  <c r="N33" i="27"/>
  <c r="M33" i="27"/>
  <c r="L33" i="27"/>
  <c r="K33" i="27"/>
  <c r="J33" i="27"/>
  <c r="I33" i="27"/>
  <c r="H33" i="27"/>
  <c r="G33" i="27"/>
  <c r="F33" i="27"/>
  <c r="E33" i="27"/>
  <c r="D33" i="27"/>
  <c r="C33" i="27"/>
  <c r="O32" i="27"/>
  <c r="E32" i="28" s="1"/>
  <c r="O31" i="27"/>
  <c r="E31" i="28" s="1"/>
  <c r="O30" i="27"/>
  <c r="E30" i="28" s="1"/>
  <c r="O29" i="27"/>
  <c r="E29" i="28" s="1"/>
  <c r="O28" i="27"/>
  <c r="E28" i="28" s="1"/>
  <c r="O27" i="27"/>
  <c r="E27" i="28" s="1"/>
  <c r="O26" i="27"/>
  <c r="E26" i="28" s="1"/>
  <c r="O25" i="27"/>
  <c r="E25" i="28" s="1"/>
  <c r="O24" i="27"/>
  <c r="E24" i="28" s="1"/>
  <c r="O23" i="27"/>
  <c r="E23" i="28" s="1"/>
  <c r="N20" i="27"/>
  <c r="M20" i="27"/>
  <c r="L20" i="27"/>
  <c r="K20" i="27"/>
  <c r="J20" i="27"/>
  <c r="I20" i="27"/>
  <c r="H20" i="27"/>
  <c r="G20" i="27"/>
  <c r="F20" i="27"/>
  <c r="E20" i="27"/>
  <c r="D20" i="27"/>
  <c r="C20" i="27"/>
  <c r="O19" i="27"/>
  <c r="E19" i="28" s="1"/>
  <c r="O18" i="27"/>
  <c r="E18" i="28" s="1"/>
  <c r="O17" i="27"/>
  <c r="E17" i="28" s="1"/>
  <c r="O16" i="27"/>
  <c r="E16" i="28" s="1"/>
  <c r="O15" i="27"/>
  <c r="E15" i="28" s="1"/>
  <c r="O14" i="27"/>
  <c r="E14" i="28" s="1"/>
  <c r="N11" i="27"/>
  <c r="M11" i="27"/>
  <c r="L11" i="27"/>
  <c r="K11" i="27"/>
  <c r="J11" i="27"/>
  <c r="I11" i="27"/>
  <c r="H11" i="27"/>
  <c r="G11" i="27"/>
  <c r="F11" i="27"/>
  <c r="E11" i="27"/>
  <c r="D11" i="27"/>
  <c r="C11" i="27"/>
  <c r="O10" i="27"/>
  <c r="E10" i="28" s="1"/>
  <c r="O9" i="27"/>
  <c r="E9" i="28" s="1"/>
  <c r="O8" i="27"/>
  <c r="E8" i="28" s="1"/>
  <c r="O7" i="27"/>
  <c r="E7" i="28" s="1"/>
  <c r="O6" i="27"/>
  <c r="E6" i="28" s="1"/>
  <c r="O5" i="27"/>
  <c r="E5" i="28" s="1"/>
  <c r="O4" i="27"/>
  <c r="E4" i="28" s="1"/>
  <c r="O3" i="27"/>
  <c r="E3" i="28" s="1"/>
  <c r="O3" i="26"/>
  <c r="D3" i="28" s="1"/>
  <c r="O4" i="26"/>
  <c r="D4" i="28" s="1"/>
  <c r="O5" i="26"/>
  <c r="D5" i="28" s="1"/>
  <c r="O6" i="26"/>
  <c r="D6" i="28" s="1"/>
  <c r="O7" i="26"/>
  <c r="D7" i="28" s="1"/>
  <c r="O8" i="26"/>
  <c r="D8" i="28" s="1"/>
  <c r="O9" i="26"/>
  <c r="D9" i="28" s="1"/>
  <c r="O10" i="26"/>
  <c r="D10" i="28" s="1"/>
  <c r="C11" i="26"/>
  <c r="D11" i="26"/>
  <c r="E11" i="26"/>
  <c r="F11" i="26"/>
  <c r="G11" i="26"/>
  <c r="H11" i="26"/>
  <c r="I11" i="26"/>
  <c r="J11" i="26"/>
  <c r="K11" i="26"/>
  <c r="L11" i="26"/>
  <c r="M11" i="26"/>
  <c r="N11" i="26"/>
  <c r="O14" i="26"/>
  <c r="D14" i="28" s="1"/>
  <c r="O15" i="26"/>
  <c r="D15" i="28" s="1"/>
  <c r="O16" i="26"/>
  <c r="D16" i="28" s="1"/>
  <c r="O17" i="26"/>
  <c r="D17" i="28" s="1"/>
  <c r="O18" i="26"/>
  <c r="D18" i="28" s="1"/>
  <c r="O19" i="26"/>
  <c r="D19" i="28" s="1"/>
  <c r="C20" i="26"/>
  <c r="D20" i="26"/>
  <c r="E20" i="26"/>
  <c r="F20" i="26"/>
  <c r="G20" i="26"/>
  <c r="H20" i="26"/>
  <c r="I20" i="26"/>
  <c r="J20" i="26"/>
  <c r="K20" i="26"/>
  <c r="L20" i="26"/>
  <c r="M20" i="26"/>
  <c r="N20" i="26"/>
  <c r="O23" i="26"/>
  <c r="D23" i="28" s="1"/>
  <c r="O24" i="26"/>
  <c r="D24" i="28" s="1"/>
  <c r="O25" i="26"/>
  <c r="D25" i="28" s="1"/>
  <c r="O26" i="26"/>
  <c r="D26" i="28" s="1"/>
  <c r="O27" i="26"/>
  <c r="D27" i="28" s="1"/>
  <c r="O28" i="26"/>
  <c r="D28" i="28" s="1"/>
  <c r="O29" i="26"/>
  <c r="D29" i="28" s="1"/>
  <c r="O30" i="26"/>
  <c r="D30" i="28" s="1"/>
  <c r="O31" i="26"/>
  <c r="D31" i="28" s="1"/>
  <c r="O32" i="26"/>
  <c r="D32" i="28" s="1"/>
  <c r="C33" i="26"/>
  <c r="D33" i="26"/>
  <c r="E33" i="26"/>
  <c r="F33" i="26"/>
  <c r="G33" i="26"/>
  <c r="H33" i="26"/>
  <c r="I33" i="26"/>
  <c r="J33" i="26"/>
  <c r="K33" i="26"/>
  <c r="L33" i="26"/>
  <c r="M33" i="26"/>
  <c r="N33" i="26"/>
  <c r="O36" i="26"/>
  <c r="D36" i="28" s="1"/>
  <c r="O37" i="26"/>
  <c r="D37" i="28" s="1"/>
  <c r="O38" i="26"/>
  <c r="D38" i="28" s="1"/>
  <c r="O39" i="26"/>
  <c r="D39" i="28" s="1"/>
  <c r="O40" i="26"/>
  <c r="D40" i="28" s="1"/>
  <c r="C41" i="26"/>
  <c r="D41" i="26"/>
  <c r="E41" i="26"/>
  <c r="F41" i="26"/>
  <c r="G41" i="26"/>
  <c r="H41" i="26"/>
  <c r="I41" i="26"/>
  <c r="J41" i="26"/>
  <c r="K41" i="26"/>
  <c r="L41" i="26"/>
  <c r="M41" i="26"/>
  <c r="N41" i="26"/>
  <c r="N41" i="25"/>
  <c r="M41" i="25"/>
  <c r="L41" i="25"/>
  <c r="K41" i="25"/>
  <c r="J41" i="25"/>
  <c r="I41" i="25"/>
  <c r="H41" i="25"/>
  <c r="G41" i="25"/>
  <c r="F41" i="25"/>
  <c r="E41" i="25"/>
  <c r="D41" i="25"/>
  <c r="C41" i="25"/>
  <c r="O40" i="25"/>
  <c r="O39" i="25"/>
  <c r="O38" i="25"/>
  <c r="O37" i="25"/>
  <c r="O36" i="25"/>
  <c r="C36" i="28" s="1"/>
  <c r="N33" i="25"/>
  <c r="M33" i="25"/>
  <c r="L33" i="25"/>
  <c r="K33" i="25"/>
  <c r="J33" i="25"/>
  <c r="I33" i="25"/>
  <c r="H33" i="25"/>
  <c r="G33" i="25"/>
  <c r="F33" i="25"/>
  <c r="E33" i="25"/>
  <c r="D33" i="25"/>
  <c r="C33" i="25"/>
  <c r="O32" i="25"/>
  <c r="O31" i="25"/>
  <c r="O30" i="25"/>
  <c r="O29" i="25"/>
  <c r="O28" i="25"/>
  <c r="O27" i="25"/>
  <c r="O26" i="25"/>
  <c r="O25" i="25"/>
  <c r="O24" i="25"/>
  <c r="O23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9" i="25"/>
  <c r="C19" i="28" s="1"/>
  <c r="O18" i="25"/>
  <c r="C18" i="28" s="1"/>
  <c r="O17" i="25"/>
  <c r="C17" i="28" s="1"/>
  <c r="O16" i="25"/>
  <c r="O15" i="25"/>
  <c r="C15" i="28" s="1"/>
  <c r="O14" i="25"/>
  <c r="C14" i="28" s="1"/>
  <c r="N11" i="25"/>
  <c r="M11" i="25"/>
  <c r="L11" i="25"/>
  <c r="K11" i="25"/>
  <c r="J11" i="25"/>
  <c r="I11" i="25"/>
  <c r="H11" i="25"/>
  <c r="G11" i="25"/>
  <c r="F11" i="25"/>
  <c r="E11" i="25"/>
  <c r="D11" i="25"/>
  <c r="C11" i="25"/>
  <c r="O10" i="25"/>
  <c r="C10" i="28" s="1"/>
  <c r="O9" i="25"/>
  <c r="C9" i="28" s="1"/>
  <c r="O8" i="25"/>
  <c r="C8" i="28" s="1"/>
  <c r="O7" i="25"/>
  <c r="C7" i="28" s="1"/>
  <c r="O6" i="25"/>
  <c r="C6" i="28" s="1"/>
  <c r="O5" i="25"/>
  <c r="C5" i="28" s="1"/>
  <c r="O4" i="25"/>
  <c r="C4" i="28" s="1"/>
  <c r="O3" i="25"/>
  <c r="C3" i="28" s="1"/>
  <c r="G8" i="28" l="1"/>
  <c r="F8" i="28"/>
  <c r="G15" i="28"/>
  <c r="F15" i="28"/>
  <c r="F30" i="28"/>
  <c r="C30" i="28"/>
  <c r="G30" i="28" s="1"/>
  <c r="F37" i="28"/>
  <c r="C37" i="28"/>
  <c r="G37" i="28" s="1"/>
  <c r="G5" i="28"/>
  <c r="F5" i="28"/>
  <c r="G9" i="28"/>
  <c r="F9" i="28"/>
  <c r="O20" i="25"/>
  <c r="C16" i="28"/>
  <c r="O33" i="25"/>
  <c r="C23" i="28"/>
  <c r="G23" i="28" s="1"/>
  <c r="C27" i="28"/>
  <c r="G27" i="28" s="1"/>
  <c r="F27" i="28"/>
  <c r="C31" i="28"/>
  <c r="G31" i="28" s="1"/>
  <c r="F31" i="28"/>
  <c r="F38" i="28"/>
  <c r="C38" i="28"/>
  <c r="G38" i="28" s="1"/>
  <c r="F3" i="28"/>
  <c r="F14" i="28"/>
  <c r="G10" i="28"/>
  <c r="F10" i="28"/>
  <c r="G17" i="28"/>
  <c r="F17" i="28"/>
  <c r="F24" i="28"/>
  <c r="C24" i="28"/>
  <c r="G24" i="28" s="1"/>
  <c r="F28" i="28"/>
  <c r="C28" i="28"/>
  <c r="G28" i="28" s="1"/>
  <c r="F32" i="28"/>
  <c r="C32" i="28"/>
  <c r="G32" i="28" s="1"/>
  <c r="F39" i="28"/>
  <c r="C39" i="28"/>
  <c r="G39" i="28" s="1"/>
  <c r="G4" i="28"/>
  <c r="F4" i="28"/>
  <c r="G19" i="28"/>
  <c r="F19" i="28"/>
  <c r="C26" i="28"/>
  <c r="G26" i="28" s="1"/>
  <c r="C12" i="29" s="1"/>
  <c r="E12" i="29" s="1"/>
  <c r="F12" i="29" s="1"/>
  <c r="F26" i="28"/>
  <c r="G6" i="28"/>
  <c r="F6" i="28"/>
  <c r="G3" i="28"/>
  <c r="G7" i="28"/>
  <c r="F7" i="28"/>
  <c r="G14" i="28"/>
  <c r="G18" i="28"/>
  <c r="F18" i="28"/>
  <c r="F25" i="28"/>
  <c r="C25" i="28"/>
  <c r="G25" i="28" s="1"/>
  <c r="F29" i="28"/>
  <c r="C29" i="28"/>
  <c r="G29" i="28" s="1"/>
  <c r="F40" i="28"/>
  <c r="C40" i="28"/>
  <c r="G40" i="28" s="1"/>
  <c r="E33" i="28"/>
  <c r="O11" i="27"/>
  <c r="O20" i="27"/>
  <c r="O41" i="27"/>
  <c r="F23" i="28"/>
  <c r="O11" i="25"/>
  <c r="O41" i="25"/>
  <c r="O33" i="26"/>
  <c r="O20" i="26"/>
  <c r="O11" i="26"/>
  <c r="O41" i="26"/>
  <c r="O33" i="27"/>
  <c r="F36" i="28"/>
  <c r="E41" i="28"/>
  <c r="D33" i="28"/>
  <c r="G36" i="28"/>
  <c r="C16" i="29" s="1"/>
  <c r="E16" i="29" s="1"/>
  <c r="F16" i="29" s="1"/>
  <c r="D20" i="28"/>
  <c r="E20" i="28"/>
  <c r="D11" i="28"/>
  <c r="E11" i="28"/>
  <c r="D41" i="28"/>
  <c r="C11" i="28"/>
  <c r="C20" i="28"/>
  <c r="C14" i="29" l="1"/>
  <c r="E14" i="29" s="1"/>
  <c r="F14" i="29" s="1"/>
  <c r="C33" i="28"/>
  <c r="F11" i="28"/>
  <c r="C15" i="29"/>
  <c r="E15" i="29" s="1"/>
  <c r="F15" i="29" s="1"/>
  <c r="G16" i="28"/>
  <c r="F16" i="28"/>
  <c r="G11" i="28"/>
  <c r="C41" i="28"/>
  <c r="G41" i="28" s="1"/>
  <c r="G20" i="28"/>
  <c r="D43" i="28"/>
  <c r="G33" i="28"/>
  <c r="E43" i="28"/>
  <c r="F33" i="28"/>
  <c r="F41" i="28"/>
  <c r="F20" i="28"/>
  <c r="C43" i="28" l="1"/>
  <c r="C10" i="29"/>
  <c r="E10" i="29" s="1"/>
  <c r="F10" i="29" s="1"/>
  <c r="G43" i="28"/>
  <c r="B3" i="29" s="1"/>
  <c r="C6" i="29" s="1"/>
  <c r="C18" i="29" s="1"/>
  <c r="C11" i="29"/>
  <c r="E11" i="29" s="1"/>
  <c r="F11" i="29" s="1"/>
  <c r="F43" i="28"/>
  <c r="F17" i="29" l="1"/>
  <c r="B19" i="29" s="1"/>
  <c r="C17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Paula Leandro Mira</author>
  </authors>
  <commentList>
    <comment ref="J7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Não deduzir amortização do leasing.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<sst xmlns="http://schemas.openxmlformats.org/spreadsheetml/2006/main" count="949" uniqueCount="292">
  <si>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</si>
  <si>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</si>
  <si>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</si>
  <si>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</si>
  <si>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</si>
  <si>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</si>
  <si>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</si>
  <si>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</si>
  <si>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</si>
  <si>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</si>
  <si>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</si>
  <si>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</si>
  <si>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TOTAL</t>
  </si>
  <si>
    <t>SERVIÇOS DE AGUA</t>
  </si>
  <si>
    <t>31-121</t>
  </si>
  <si>
    <t>Ligações</t>
  </si>
  <si>
    <t>31-122</t>
  </si>
  <si>
    <t>Acréscimo por Impontualidade</t>
  </si>
  <si>
    <t>31-123</t>
  </si>
  <si>
    <t>Religações</t>
  </si>
  <si>
    <t>31-124</t>
  </si>
  <si>
    <t>Conserto de Hidrômetros</t>
  </si>
  <si>
    <t>31-125</t>
  </si>
  <si>
    <t>Ampliações</t>
  </si>
  <si>
    <t>31-126</t>
  </si>
  <si>
    <t>Sanções</t>
  </si>
  <si>
    <t>31-128</t>
  </si>
  <si>
    <t>Outros</t>
  </si>
  <si>
    <t>31-129</t>
  </si>
  <si>
    <t>Devolução de valores (DV)</t>
  </si>
  <si>
    <t>SERVIÇOS DE ESGOTO</t>
  </si>
  <si>
    <t>31-221</t>
  </si>
  <si>
    <t>31-222</t>
  </si>
  <si>
    <t>Acréscimo por impontualidade</t>
  </si>
  <si>
    <t>31-224</t>
  </si>
  <si>
    <t>Conserto de Ramais</t>
  </si>
  <si>
    <t>31-225</t>
  </si>
  <si>
    <t>31-228</t>
  </si>
  <si>
    <t>31-231</t>
  </si>
  <si>
    <t>Receitas Vinculadas a ANA</t>
  </si>
  <si>
    <t>OUTRAS RECEITAS OPERACIONAIS</t>
  </si>
  <si>
    <t>33-111</t>
  </si>
  <si>
    <t>Serviços de Laboratório</t>
  </si>
  <si>
    <t>33-112</t>
  </si>
  <si>
    <t>Serviços de Manutenção</t>
  </si>
  <si>
    <t>33-113</t>
  </si>
  <si>
    <t>Serviços de Porjeto e Assistência Técnica</t>
  </si>
  <si>
    <t>33-116</t>
  </si>
  <si>
    <t>Serviços Prestados as Prefeituras</t>
  </si>
  <si>
    <t>33-117</t>
  </si>
  <si>
    <t>Serviços de Carga e Descarga</t>
  </si>
  <si>
    <t>33-118</t>
  </si>
  <si>
    <t>Insc. Cadastral e Venda de Elem. E Materiais</t>
  </si>
  <si>
    <t>33-212</t>
  </si>
  <si>
    <t>Indenização e Ressarcimento de Despesas</t>
  </si>
  <si>
    <t>33-215</t>
  </si>
  <si>
    <t>Locação de Imóveis</t>
  </si>
  <si>
    <t>33-216</t>
  </si>
  <si>
    <t>Cessão para exploração de Serviços Financeiros</t>
  </si>
  <si>
    <t>33-219</t>
  </si>
  <si>
    <t>Outras Receitas Menores</t>
  </si>
  <si>
    <t>OUTRAS RECEITAS OPERACIONAIS - indiretas</t>
  </si>
  <si>
    <t>33-211</t>
  </si>
  <si>
    <t>Contribuições e doações particulares</t>
  </si>
  <si>
    <t>33-213</t>
  </si>
  <si>
    <t>Contribuições e doações de órgãos públicos</t>
  </si>
  <si>
    <t>33-214</t>
  </si>
  <si>
    <t>Ganhos com recuperação de créditos fiscais</t>
  </si>
  <si>
    <t>33-312</t>
  </si>
  <si>
    <t>Venda de bens do ativo imobilizado</t>
  </si>
  <si>
    <t>33-313</t>
  </si>
  <si>
    <t>Venda de materiais inservíveis</t>
  </si>
  <si>
    <t>Serviços de Projeto e Assistência Técnica</t>
  </si>
  <si>
    <t>Com Pasep/Cofins</t>
  </si>
  <si>
    <t>Sem Pasep/Cofins</t>
  </si>
  <si>
    <t>Receitas de Serviços (Água)</t>
  </si>
  <si>
    <t>121-122-123-124-125-126-128-129</t>
  </si>
  <si>
    <t>Receitas de Serviços (Esgoto)</t>
  </si>
  <si>
    <t>221-222-224-225-228-231</t>
  </si>
  <si>
    <t>Serviços Prestados a Prefeituras (Água)</t>
  </si>
  <si>
    <t>Serviços Prestados a Prefeituras (Esgoto)</t>
  </si>
  <si>
    <t>Outras Receitas Operacionais (Água)</t>
  </si>
  <si>
    <t>111-112-113-117-118</t>
  </si>
  <si>
    <t>Outras Receitas Operacionais (Esgoto)</t>
  </si>
  <si>
    <t>212-215-216-219</t>
  </si>
  <si>
    <t>Outras Receitas Operacionais (indiretas)</t>
  </si>
  <si>
    <t>211-213-214-312-313</t>
  </si>
  <si>
    <t>Outras Receitas (R$)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</si>
  <si>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</si>
  <si>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</si>
  <si>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</si>
  <si>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</si>
  <si>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</si>
  <si>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</si>
  <si>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</si>
  <si>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</si>
  <si>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</si>
  <si>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</si>
  <si>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</si>
  <si>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</si>
  <si>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I-OR-2017</t>
  </si>
  <si>
    <t>Informações contábeis da SANEPAR - Outras Receitas 2017</t>
  </si>
  <si>
    <t>Informações contábeis da SANEPAR - Outras Receitas 2018</t>
  </si>
  <si>
    <t>Informações contábeis da SANEPAR - Outras Receitas 2019</t>
  </si>
  <si>
    <t>I-OR-2018</t>
  </si>
  <si>
    <t>I-OR-2019</t>
  </si>
  <si>
    <t>A-Cálculo de Outras Receitas Consolidado</t>
  </si>
  <si>
    <t>Cálculo que compila as informações de insumos para a apuração de Outras Receitas de 2017 a 2019</t>
  </si>
  <si>
    <t>R-Compartilhamento de Outras Receitas</t>
  </si>
  <si>
    <t>Compilação dos resultados parciais e aferição da estrutura de compartilhamento de outras receitas</t>
  </si>
  <si>
    <t>Total de Outras Receitas para Base de Cálculo no compartilhamento</t>
  </si>
  <si>
    <t>Tabela - Outras Receitas 2018</t>
  </si>
  <si>
    <t>Tabela - Outras Receitas 2017</t>
  </si>
  <si>
    <t>Tabela -  Outras Receitas 2019</t>
  </si>
  <si>
    <t>Tabela: Outras Receitas consolidada</t>
  </si>
  <si>
    <t>Descrição de Outras Receitas</t>
  </si>
  <si>
    <t>Códigos Contábeis</t>
  </si>
  <si>
    <t>Tabela 2: Resumo Compartilhamento de Outras Receitas</t>
  </si>
  <si>
    <t>CÓD. DARF:  COFINS 5856 / PASEP 6912</t>
  </si>
  <si>
    <t xml:space="preserve">       CIA. DE SANEAMENTO DO PARANÁ - SANEPAR - APURAÇÃO DA COFINS E DO PASEP 2017</t>
  </si>
  <si>
    <t>Débitos Receitas Operacionais - Alíquota 7,6%</t>
  </si>
  <si>
    <t>(-) Créditos da COFINS  -  Alíquota 7,6%</t>
  </si>
  <si>
    <t>COFINS APURADA - RECEITA OPERACIONAL</t>
  </si>
  <si>
    <t>Débitos Receitas Financeiras  - Alíquota 4%</t>
  </si>
  <si>
    <t>COFINS APURADA - RECEITA FINANCEIRA</t>
  </si>
  <si>
    <t>COFINS DEVIDA</t>
  </si>
  <si>
    <t>(-) Retenção de Órgãos Públicos</t>
  </si>
  <si>
    <t>(-) Retenções da A.N.A.</t>
  </si>
  <si>
    <t>COFINS A RECOLHER</t>
  </si>
  <si>
    <t>(-) Compensação DCOMP</t>
  </si>
  <si>
    <t>COFINS LÍQUIDA A RECOLHER</t>
  </si>
  <si>
    <t xml:space="preserve"> PASEP -  APURAÇÃO DA BASE DE CÁLCULO -  CONTRIBUIÇÃO DEVIDA EM REAIS  -  2017  - Cód. 6912 </t>
  </si>
  <si>
    <t>Débitos Receitas Operacionais - Alíquota 1,65%</t>
  </si>
  <si>
    <t>(-) Créditos do PASEP  -  Alíquota 1,65%</t>
  </si>
  <si>
    <t>PASEP APURADO - RECEITA OPERACIONAL</t>
  </si>
  <si>
    <t>Débitos Receitas Financeiras  - Alíquota 0,65%</t>
  </si>
  <si>
    <t>PASEP APURADO - RECEITA FINANCEIRA</t>
  </si>
  <si>
    <t>PASEP DEVIDO</t>
  </si>
  <si>
    <t>PASEP A RECOLHER</t>
  </si>
  <si>
    <t>PASEP LÍQUIDO A RECOLHER</t>
  </si>
  <si>
    <t>% efetiva  - receita operacional - COFINS</t>
  </si>
  <si>
    <t>% efetiva  - receita operacional - PASEP</t>
  </si>
  <si>
    <t>Total Alíquota Efetiva - Receita Operacional</t>
  </si>
  <si>
    <t>% efetiva  - receita total - COFINS</t>
  </si>
  <si>
    <t>% efetiva  - receita total - PASEP</t>
  </si>
  <si>
    <t>Total Alíquota Efetiva - Receita Total</t>
  </si>
  <si>
    <t>TOTAL (COFINS + PASEP) A RECOLHER</t>
  </si>
  <si>
    <t>DESPESAS</t>
  </si>
  <si>
    <t>COFINS 452</t>
  </si>
  <si>
    <t>PASEP 451</t>
  </si>
  <si>
    <t>COFINS - APURAÇÃO BASE DE CÁLCULO E CONTRIBUIÇÃO DEVIDA EM REAIS - 2017 - DARF 5856</t>
  </si>
  <si>
    <t xml:space="preserve">       CIA. DE SANEAMENTO DO PARANÁ - SANEPAR - APURAÇÃO DA COFINS E DO PASEP 2018</t>
  </si>
  <si>
    <t>COFINS - APURAÇÃO DA BASE DE CÁLCULO - CONTRIBUIÇÃO DEVIDA EM REAIS - 2018 - DARF 5856</t>
  </si>
  <si>
    <t xml:space="preserve"> PASEP -  APURAÇÃO DA BASE DE CÁLCULO -  CONTRIBUIÇÃO DEVIDA EM REAIS  -  2018  - DARF 6912 </t>
  </si>
  <si>
    <t>COFINS - APURAÇÃO DA BASE DE CÁLCULO - CONTRIBUIÇÃO DEVIDA EM REAIS - 2019 - DARF 5856</t>
  </si>
  <si>
    <t xml:space="preserve"> PASEP -  APURAÇÃO DA BASE DE CÁLCULO -  CONTRIBUIÇÃO DEVIDA EM REAIS  -  2019  - DARF 6912 </t>
  </si>
  <si>
    <t>MÉDIA HIST.ANUAL</t>
  </si>
  <si>
    <t>MÉDIA HIST. ANUAL</t>
  </si>
  <si>
    <t>RECEITAS</t>
  </si>
  <si>
    <t>31 110 - Tarifas de Água - Potável</t>
  </si>
  <si>
    <t xml:space="preserve">31 120 - Serviços de Água - Potável </t>
  </si>
  <si>
    <t>31 130 - Tarifas de Água - Industrial</t>
  </si>
  <si>
    <t>31 140 - Serviços de Água - Industrial</t>
  </si>
  <si>
    <t>31 150 - Outras Receitas Serviços de Água - (ANA)</t>
  </si>
  <si>
    <t>31 210 - Tarifas de Esgoto</t>
  </si>
  <si>
    <t>31 220 - Serviços de Esgoto</t>
  </si>
  <si>
    <t xml:space="preserve">31 230 - Outras Receitas Serviços de Esgoto - (ANA) </t>
  </si>
  <si>
    <t>31 400 - Receitas de Resíduos Sólidos</t>
  </si>
  <si>
    <t>TOTAL  RECEITAS OPERACIONAIS - 31</t>
  </si>
  <si>
    <t>33 100 - Receitas Serviços Técnicos Administrativos</t>
  </si>
  <si>
    <t>33 200 - Outras Receitas Operacionais</t>
  </si>
  <si>
    <t xml:space="preserve">33 300 - Receitas Não Operacionais </t>
  </si>
  <si>
    <t>33 400 - Receitas de Participação Outras Sociedades</t>
  </si>
  <si>
    <t>TOTAL OUTRAS RECEITAS OPERACIONAIS - 33</t>
  </si>
  <si>
    <t xml:space="preserve">(-) 33 213 - Contribuições e Doações Orgãos Públicos </t>
  </si>
  <si>
    <t>(-) 33 214 - Ganhos com Recuperação de Créditos Fiscais</t>
  </si>
  <si>
    <t>(-) 33 311 / 312 - Venda de Bens Ativo Imobilizado e Investim.</t>
  </si>
  <si>
    <t>(-) 33 319 - Ajuste Positivo a Valor de Mercado TVM E INS</t>
  </si>
  <si>
    <t>(-) 33 400 - Receitas de Participação Outras Sociedades</t>
  </si>
  <si>
    <t>TOTAL DE EXCLUSÕES</t>
  </si>
  <si>
    <t>32 123 - Juros sobre Capital Próprio de Investimentos</t>
  </si>
  <si>
    <t>BASE DE CÁLCULO - RECEITAS OPERACIONAIS</t>
  </si>
  <si>
    <t>32 100 - Receitas Financeiras</t>
  </si>
  <si>
    <t>(-) 32 118 - Receitas AVP s/ Ativos Financeiros Contratuais</t>
  </si>
  <si>
    <t>(-) 32 119 - Ajuste a Valor Presente</t>
  </si>
  <si>
    <t xml:space="preserve">(-) 32 123 - JCP Recebido </t>
  </si>
  <si>
    <t>TOTAL RECEITAS FINANCEIRAS</t>
  </si>
  <si>
    <t>BASE DE CÁLCULO - RECEITAS FINANCEIRAS</t>
  </si>
  <si>
    <t>BASE DE CÁLCULO TOTAL</t>
  </si>
  <si>
    <t>CRÉDITOS DE INSUMOS E OUTROS</t>
  </si>
  <si>
    <t xml:space="preserve">INSUMOS </t>
  </si>
  <si>
    <t xml:space="preserve">SERVIÇOS </t>
  </si>
  <si>
    <t xml:space="preserve">DEPRECIAÇÕES/AMORTIZAÇÕES </t>
  </si>
  <si>
    <t>(-) Amortização do Leasing Financeiro</t>
  </si>
  <si>
    <t>TOTAL DE CRÉDITOS</t>
  </si>
  <si>
    <t>ARRENDAMENTO MERCANTIL FINANCEIRO</t>
  </si>
  <si>
    <t>Arrendamento Mercantil Financeiro</t>
  </si>
  <si>
    <t>(-) 32 133 - Variações Cambiais Ativas</t>
  </si>
  <si>
    <t>(-) 32 134 - Variação Swap - Positiva</t>
  </si>
  <si>
    <t>319 - Alugueis de imóveis (total)</t>
  </si>
  <si>
    <t xml:space="preserve">PAGAMENTOS ARRENDAMENTO MERCANTIL </t>
  </si>
  <si>
    <t>Arrendamento Mercantil Operacional</t>
  </si>
  <si>
    <t>(-) Amortização do Leasing Operacional</t>
  </si>
  <si>
    <t>Aliq. Efetiva Pasep/Cofins</t>
  </si>
  <si>
    <t>PASEP/COFINS</t>
  </si>
  <si>
    <t>Compartilhamento de Outras Receitas para  2ª RTP com PASEP/COFINS</t>
  </si>
  <si>
    <t>Percentual de compartilhamento</t>
  </si>
  <si>
    <t>Reverter a Modicidade Tarifária (Compartilhamento Sem PASEP/COFINS)</t>
  </si>
  <si>
    <t>Compartilhamento com PASEP/COFINS</t>
  </si>
  <si>
    <t>Tabela 1: Cálculo do compartilhamento (Outras Receitas)</t>
  </si>
  <si>
    <t>Tabela: Apuração PASEP/COFINS - 01/2017 a 12/2017</t>
  </si>
  <si>
    <r>
      <t>202 - Mat operação de sistemas</t>
    </r>
    <r>
      <rPr>
        <b/>
        <sz val="11"/>
        <rFont val="Calibri"/>
        <family val="2"/>
      </rPr>
      <t xml:space="preserve"> (41)</t>
    </r>
  </si>
  <si>
    <r>
      <t xml:space="preserve">204 - Mat. de limpeza e higiene </t>
    </r>
    <r>
      <rPr>
        <b/>
        <sz val="11"/>
        <rFont val="Calibri"/>
        <family val="2"/>
      </rPr>
      <t>(41)</t>
    </r>
  </si>
  <si>
    <r>
      <t xml:space="preserve">205 - Mat de manutenção eletromecanica </t>
    </r>
    <r>
      <rPr>
        <b/>
        <sz val="11"/>
        <rFont val="Calibri"/>
        <family val="2"/>
      </rPr>
      <t>(total)</t>
    </r>
  </si>
  <si>
    <r>
      <t xml:space="preserve">206 - Mat de laboratório </t>
    </r>
    <r>
      <rPr>
        <b/>
        <sz val="11"/>
        <rFont val="Calibri"/>
        <family val="2"/>
      </rPr>
      <t>(total)</t>
    </r>
  </si>
  <si>
    <r>
      <t xml:space="preserve">207 - Mat de tratamento </t>
    </r>
    <r>
      <rPr>
        <b/>
        <sz val="11"/>
        <rFont val="Calibri"/>
        <family val="2"/>
      </rPr>
      <t>(total)</t>
    </r>
  </si>
  <si>
    <r>
      <t xml:space="preserve">208 - Mat de manutenção de hidrômetros </t>
    </r>
    <r>
      <rPr>
        <b/>
        <sz val="11"/>
        <rFont val="Calibri"/>
        <family val="2"/>
      </rPr>
      <t>(total)</t>
    </r>
  </si>
  <si>
    <r>
      <t xml:space="preserve">210 - Ferramentas perecíveis </t>
    </r>
    <r>
      <rPr>
        <b/>
        <sz val="11"/>
        <rFont val="Calibri"/>
        <family val="2"/>
      </rPr>
      <t>(41)</t>
    </r>
  </si>
  <si>
    <r>
      <t xml:space="preserve">211 - Mat de manutenção de veiculos </t>
    </r>
    <r>
      <rPr>
        <b/>
        <sz val="11"/>
        <rFont val="Calibri"/>
        <family val="2"/>
      </rPr>
      <t xml:space="preserve">(41) </t>
    </r>
  </si>
  <si>
    <r>
      <t xml:space="preserve">212 - Combustíveis e lubrificantes  </t>
    </r>
    <r>
      <rPr>
        <b/>
        <sz val="11"/>
        <rFont val="Calibri"/>
        <family val="2"/>
      </rPr>
      <t>(41 - total + 44 e 45 + parcial)</t>
    </r>
  </si>
  <si>
    <r>
      <t>213 - Mat  de natureza permanente</t>
    </r>
    <r>
      <rPr>
        <b/>
        <sz val="11"/>
        <rFont val="Calibri"/>
        <family val="2"/>
      </rPr>
      <t>(41 - total + 44 e 45 + parcial)</t>
    </r>
  </si>
  <si>
    <r>
      <t>214 - Mat de segurança e proteção</t>
    </r>
    <r>
      <rPr>
        <b/>
        <sz val="11"/>
        <rFont val="Calibri"/>
        <family val="2"/>
      </rPr>
      <t>(41 - total + 44 e 45 + parcial)</t>
    </r>
  </si>
  <si>
    <r>
      <t>215 - Mat de manutenção de cilindros de cloro</t>
    </r>
    <r>
      <rPr>
        <b/>
        <sz val="11"/>
        <rFont val="Calibri"/>
        <family val="2"/>
      </rPr>
      <t xml:space="preserve"> (total)</t>
    </r>
  </si>
  <si>
    <r>
      <t xml:space="preserve">216 - Mat. De manutenção de Redes </t>
    </r>
    <r>
      <rPr>
        <b/>
        <sz val="11"/>
        <rFont val="Calibri"/>
        <family val="2"/>
      </rPr>
      <t xml:space="preserve">(total) </t>
    </r>
  </si>
  <si>
    <r>
      <t>301 - Serv. Operação de Sistemas</t>
    </r>
    <r>
      <rPr>
        <b/>
        <sz val="11"/>
        <rFont val="Calibri"/>
        <family val="2"/>
      </rPr>
      <t xml:space="preserve"> (total)</t>
    </r>
  </si>
  <si>
    <r>
      <t xml:space="preserve">303 - Serviços de Limpeza e Higiene </t>
    </r>
    <r>
      <rPr>
        <b/>
        <sz val="11"/>
        <rFont val="Calibri"/>
        <family val="2"/>
      </rPr>
      <t>(41)</t>
    </r>
  </si>
  <si>
    <r>
      <t xml:space="preserve">310 - Energia Elétrica </t>
    </r>
    <r>
      <rPr>
        <b/>
        <sz val="11"/>
        <rFont val="Calibri"/>
        <family val="2"/>
      </rPr>
      <t>(total)</t>
    </r>
  </si>
  <si>
    <r>
      <t xml:space="preserve">311 - Fretes e carretos </t>
    </r>
    <r>
      <rPr>
        <b/>
        <sz val="11"/>
        <rFont val="Calibri"/>
        <family val="2"/>
      </rPr>
      <t>(41)</t>
    </r>
  </si>
  <si>
    <r>
      <t xml:space="preserve">316 - Serviços de Laboratórios </t>
    </r>
    <r>
      <rPr>
        <b/>
        <sz val="11"/>
        <rFont val="Calibri"/>
        <family val="2"/>
      </rPr>
      <t>(total)</t>
    </r>
  </si>
  <si>
    <r>
      <t xml:space="preserve">318 - Contratados </t>
    </r>
    <r>
      <rPr>
        <b/>
        <sz val="11"/>
        <rFont val="Calibri"/>
        <family val="2"/>
      </rPr>
      <t>(41)</t>
    </r>
    <r>
      <rPr>
        <sz val="11"/>
        <rFont val="Calibri"/>
        <family val="2"/>
      </rPr>
      <t xml:space="preserve"> </t>
    </r>
  </si>
  <si>
    <r>
      <t xml:space="preserve">319 - Alugueis de imóveis </t>
    </r>
    <r>
      <rPr>
        <b/>
        <sz val="11"/>
        <rFont val="Calibri"/>
        <family val="2"/>
      </rPr>
      <t>(total)</t>
    </r>
  </si>
  <si>
    <r>
      <t xml:space="preserve">322 - Serviços de Manutenção Eletromecânica </t>
    </r>
    <r>
      <rPr>
        <b/>
        <sz val="11"/>
        <rFont val="Calibri"/>
        <family val="2"/>
      </rPr>
      <t>(total)</t>
    </r>
  </si>
  <si>
    <r>
      <t xml:space="preserve">323 - Serviços de Manutenção de Veículos </t>
    </r>
    <r>
      <rPr>
        <b/>
        <sz val="11"/>
        <rFont val="Calibri"/>
        <family val="2"/>
      </rPr>
      <t>(41)</t>
    </r>
  </si>
  <si>
    <r>
      <t>325 - Serv. de Desenv. e Manutenção Operacional</t>
    </r>
    <r>
      <rPr>
        <b/>
        <sz val="11"/>
        <rFont val="Calibri"/>
        <family val="2"/>
      </rPr>
      <t xml:space="preserve"> (total)</t>
    </r>
  </si>
  <si>
    <r>
      <t xml:space="preserve">326 - Serviços de manutenção de Redes </t>
    </r>
    <r>
      <rPr>
        <b/>
        <sz val="11"/>
        <rFont val="Calibri"/>
        <family val="2"/>
      </rPr>
      <t>(total)</t>
    </r>
  </si>
  <si>
    <r>
      <t xml:space="preserve">329 - Serviços Técnicos Operacionais </t>
    </r>
    <r>
      <rPr>
        <b/>
        <sz val="11"/>
        <rFont val="Calibri"/>
        <family val="2"/>
      </rPr>
      <t>(total)</t>
    </r>
  </si>
  <si>
    <r>
      <t xml:space="preserve">330 - Serviços de Remoção Resíduos Esgoto </t>
    </r>
    <r>
      <rPr>
        <b/>
        <sz val="11"/>
        <rFont val="Calibri"/>
        <family val="2"/>
      </rPr>
      <t>(total)</t>
    </r>
  </si>
  <si>
    <r>
      <t xml:space="preserve">332 - Serviços de Manutenção em Unidades Operacionais Água </t>
    </r>
    <r>
      <rPr>
        <b/>
        <sz val="11"/>
        <rFont val="Calibri"/>
        <family val="2"/>
      </rPr>
      <t>(total)</t>
    </r>
  </si>
  <si>
    <r>
      <t xml:space="preserve">Depreciações - Relats. Auxiliares </t>
    </r>
    <r>
      <rPr>
        <b/>
        <sz val="11"/>
        <rFont val="Calibri"/>
        <family val="2"/>
      </rPr>
      <t>(Aquis. a partir de mai/2004)</t>
    </r>
  </si>
  <si>
    <r>
      <t xml:space="preserve">Amortizações - Relats. Auxiliares </t>
    </r>
    <r>
      <rPr>
        <b/>
        <sz val="11"/>
        <rFont val="Calibri"/>
        <family val="2"/>
      </rPr>
      <t>(Aquis. a partir de mai/2004)</t>
    </r>
  </si>
  <si>
    <t>DESPESAS PASEP/COFINS</t>
  </si>
  <si>
    <t>Tabela: Apuração PASEP/COFINS - 01/2018 a 12/2018</t>
  </si>
  <si>
    <r>
      <t xml:space="preserve">333 - Serviços de Tratamento e Destinação de Resíduos Sólidos </t>
    </r>
    <r>
      <rPr>
        <b/>
        <sz val="11"/>
        <rFont val="Calibri"/>
        <family val="2"/>
      </rPr>
      <t>(41)</t>
    </r>
  </si>
  <si>
    <t>Tabela: Apuração PASEP/COFINS - 01/2019 a 12/2019</t>
  </si>
  <si>
    <t>Tabela - Cálculo intermediário para apuração da aliquota efetiva</t>
  </si>
  <si>
    <t>TOTAL DE CREDITOS</t>
  </si>
  <si>
    <t>PASEP - APURAÇÃO DA BASE DE CÁLCULO - CONTRIBUIÇÃO DEVIDA EM REAIS -2017 A 2019-  DARF 6912</t>
  </si>
  <si>
    <t>Aliquota  efetiva (%) - receita operacional COFINS média historica (anual)</t>
  </si>
  <si>
    <t>Aliquota  efetiva (%)- receita operacional PASEP média historica (anual)</t>
  </si>
  <si>
    <t>Aliquota  efetiva (%) - receita operacional TOTAL média historica (anual)</t>
  </si>
  <si>
    <t>Fonte: SANEPAR - Protocolo 17.002.046-4.</t>
  </si>
  <si>
    <t>Fonte: SANEPAR - Protocolo 17.013.072-3.</t>
  </si>
  <si>
    <t xml:space="preserve">TOTAL  RECEITAS OPERACIONAIS </t>
  </si>
  <si>
    <t>TOTAL OUTRAS RECEITAS OPERACIONAIS</t>
  </si>
  <si>
    <r>
      <t>202 - Mat operação de sistemas</t>
    </r>
    <r>
      <rPr>
        <b/>
        <sz val="11"/>
        <rFont val="Calibri"/>
        <family val="2"/>
      </rPr>
      <t xml:space="preserve"> </t>
    </r>
  </si>
  <si>
    <t xml:space="preserve">204 - Mat. de limpeza e higiene </t>
  </si>
  <si>
    <t xml:space="preserve">205 - Mat de manutenção eletromecanica </t>
  </si>
  <si>
    <t xml:space="preserve">210 - Ferramentas perecíveis </t>
  </si>
  <si>
    <t xml:space="preserve">206 - Mat de laboratório </t>
  </si>
  <si>
    <t xml:space="preserve">207 - Mat de tratamento </t>
  </si>
  <si>
    <t xml:space="preserve">208 - Mat de manutenção de hidrômetros </t>
  </si>
  <si>
    <r>
      <t xml:space="preserve">211 - Mat de manutenção de veiculos </t>
    </r>
    <r>
      <rPr>
        <b/>
        <sz val="11"/>
        <rFont val="Calibri"/>
        <family val="2"/>
      </rPr>
      <t xml:space="preserve"> </t>
    </r>
  </si>
  <si>
    <t>212 - Combustíveis e lubrificantes</t>
  </si>
  <si>
    <t>213 - Mat  de natureza permanente</t>
  </si>
  <si>
    <t>214 - Mat de segurança e proteção</t>
  </si>
  <si>
    <r>
      <t>215 - Mat de manutenção de cilindros de cloro</t>
    </r>
    <r>
      <rPr>
        <b/>
        <sz val="11"/>
        <rFont val="Calibri"/>
        <family val="2"/>
      </rPr>
      <t xml:space="preserve"> </t>
    </r>
  </si>
  <si>
    <r>
      <t xml:space="preserve">216 - Mat. De manutenção de Redes </t>
    </r>
    <r>
      <rPr>
        <b/>
        <sz val="11"/>
        <rFont val="Calibri"/>
        <family val="2"/>
      </rPr>
      <t xml:space="preserve"> </t>
    </r>
  </si>
  <si>
    <r>
      <t>301 - Serv. Operação de Sistemas</t>
    </r>
    <r>
      <rPr>
        <b/>
        <sz val="11"/>
        <rFont val="Calibri"/>
        <family val="2"/>
      </rPr>
      <t xml:space="preserve"> </t>
    </r>
  </si>
  <si>
    <t xml:space="preserve">303 - Serviços de Limpeza e Higiene </t>
  </si>
  <si>
    <t xml:space="preserve">310 - Energia Elétrica </t>
  </si>
  <si>
    <t xml:space="preserve">311 - Fretes e carretos </t>
  </si>
  <si>
    <t xml:space="preserve">316 - Serviços de Laboratórios </t>
  </si>
  <si>
    <r>
      <t xml:space="preserve">318 - Contratados </t>
    </r>
    <r>
      <rPr>
        <sz val="11"/>
        <rFont val="Calibri"/>
        <family val="2"/>
      </rPr>
      <t xml:space="preserve"> </t>
    </r>
  </si>
  <si>
    <t xml:space="preserve">319 - Alugueis de imóveis </t>
  </si>
  <si>
    <t xml:space="preserve">322 - Serviços de Manutenção Eletromecânica </t>
  </si>
  <si>
    <t xml:space="preserve">323 - Serviços de Manutenção de Veículos </t>
  </si>
  <si>
    <r>
      <t>325 - Serv. de Desenv. e Manutenção Operacional</t>
    </r>
    <r>
      <rPr>
        <b/>
        <sz val="11"/>
        <rFont val="Calibri"/>
        <family val="2"/>
      </rPr>
      <t xml:space="preserve"> </t>
    </r>
  </si>
  <si>
    <t xml:space="preserve">326 - Serviços de manutenção de Redes </t>
  </si>
  <si>
    <t xml:space="preserve">329 - Serviços Técnicos Operacionais </t>
  </si>
  <si>
    <t xml:space="preserve">330 - Serviços de Remoção Resíduos Esgoto </t>
  </si>
  <si>
    <t xml:space="preserve">332 - Serviços de Manutenção em Unidades Operacionais Água </t>
  </si>
  <si>
    <t>Fonte: SANEPAR - Protocolo 17.013.072-3. . Elaboração: AGEPAR (2020)</t>
  </si>
  <si>
    <t>Fonte: SANEPAR - Protocolo 17.002.046-4. Elaboração Agepar (2020)</t>
  </si>
  <si>
    <t>I-Apur.PASEP_COFINS 2017</t>
  </si>
  <si>
    <t>I-Apur.PASEP_COFINS 2018</t>
  </si>
  <si>
    <t>I-Apur.PASEP_COFINS 2019</t>
  </si>
  <si>
    <t>Informações de apuração de PASEP e COFINS da SANEPAR - 2017</t>
  </si>
  <si>
    <t>Informações de apuração de PASEP e COFINS da SANEPAR - 2018</t>
  </si>
  <si>
    <t>Informações de apuração de PASEP e COFINS da SANEPAR - 2019</t>
  </si>
  <si>
    <t>A-Cálculo PASEP e COFINS Consolidado</t>
  </si>
  <si>
    <t>Cálculo que compila as informações de PASEP e COFINS de 2017 a 2019</t>
  </si>
  <si>
    <r>
      <t>Esta planilha foi desenvolvida como parte integrante da 2ª Revisão Tarifária Periódica dos serviços de saneamento básico do Estado do Paraná. 
Seu conteúdo refere-se ao cálculo de Outras Receitas para o ciclo tarifário dos anos de 2021 e 2025. A metodologia adotada é descrita na Nota Técnica 005/2020.
O resultados dos cálculos da planilha enc</t>
    </r>
    <r>
      <rPr>
        <sz val="11"/>
        <rFont val="Calibri"/>
        <family val="2"/>
      </rPr>
      <t>ontram-se na aba R-Compartilhamento 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</si>
</sst>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5" formatCode="_(* #,##0.00_);_(* \(#,##0.00\);_(* &quot;-&quot;??_);_(@_)"/>
    <numFmt numFmtId="166" formatCode="#,##0.00_ ;\-#,##0.00\ "/>
    <numFmt numFmtId="167" formatCode="0.000000%"/>
    <numFmt numFmtId="168" formatCode="#,##0.0000_);\(#,##0.0000\)"/>
    <numFmt numFmtId="169" formatCode="0.0000%"/>
    <numFmt numFmtId="170" formatCode="_-* #,##0.00000_-;\-* #,##0.00000_-;_-* &quot;-&quot;??_-;_-@_-"/>
    <numFmt numFmtId="171" formatCode="_-* #,##0.00000_-;\-* #,##0.00000_-;_-* &quot;-&quot;?????_-;_-@_-"/>
    <numFmt numFmtId="172" formatCode="_(* #,##0.00000_);_(* \(#,##0.00000\);_(* &quot;-&quot;??_);_(@_)"/>
  </numFmts>
  <fonts count="18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indexed="18"/>
      <name val="Calibri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55993"/>
      </left>
      <right/>
      <top style="thin">
        <color rgb="FF355993"/>
      </top>
      <bottom/>
      <diagonal/>
    </border>
    <border>
      <left/>
      <right style="thin">
        <color rgb="FF355993"/>
      </right>
      <top style="thin">
        <color rgb="FF355993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rgb="FF355993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230">
    <xf numFmtId="0" fontId="0" fillId="0" borderId="0" xfId="0"/>
    <xf numFmtId="0" fontId="5" fillId="0" borderId="0" xfId="0" applyFont="1"/>
    <xf numFmtId="0" fontId="4" fillId="0" borderId="0" xfId="0" applyFont="1"/>
    <xf numFmtId="0" fontId="6" fillId="3" borderId="14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/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5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1" xfId="0" applyFont="1" applyFill="1" applyBorder="1"/>
    <xf numFmtId="0" fontId="4" fillId="2" borderId="7" xfId="0" applyFont="1" applyFill="1" applyBorder="1"/>
    <xf numFmtId="0" fontId="4" fillId="2" borderId="12" xfId="0" applyFont="1" applyFill="1" applyBorder="1"/>
    <xf numFmtId="0" fontId="6" fillId="4" borderId="14" xfId="0" applyFont="1" applyFill="1" applyBorder="1" applyAlignment="1">
      <alignment horizontal="center" wrapText="1"/>
    </xf>
    <xf numFmtId="4" fontId="6" fillId="4" borderId="14" xfId="5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0" borderId="1" xfId="0" applyBorder="1"/>
    <xf numFmtId="0" fontId="9" fillId="0" borderId="0" xfId="7" applyFont="1" applyBorder="1" applyAlignment="1">
      <alignment horizontal="left" indent="1"/>
    </xf>
    <xf numFmtId="43" fontId="9" fillId="0" borderId="0" xfId="5" applyFont="1" applyFill="1" applyBorder="1"/>
    <xf numFmtId="17" fontId="6" fillId="3" borderId="15" xfId="7" applyNumberFormat="1" applyFont="1" applyFill="1" applyBorder="1" applyAlignment="1">
      <alignment horizontal="center"/>
    </xf>
    <xf numFmtId="0" fontId="6" fillId="3" borderId="15" xfId="7" applyFont="1" applyFill="1" applyBorder="1" applyAlignment="1">
      <alignment horizontal="center"/>
    </xf>
    <xf numFmtId="0" fontId="4" fillId="0" borderId="6" xfId="0" applyFont="1" applyFill="1" applyBorder="1"/>
    <xf numFmtId="43" fontId="10" fillId="5" borderId="0" xfId="5" applyFont="1" applyFill="1" applyBorder="1"/>
    <xf numFmtId="43" fontId="6" fillId="4" borderId="14" xfId="0" applyNumberFormat="1" applyFont="1" applyFill="1" applyBorder="1" applyAlignment="1">
      <alignment horizontal="center" wrapText="1"/>
    </xf>
    <xf numFmtId="49" fontId="6" fillId="3" borderId="1" xfId="7" applyNumberFormat="1" applyFont="1" applyFill="1" applyBorder="1" applyAlignment="1">
      <alignment horizontal="center"/>
    </xf>
    <xf numFmtId="0" fontId="6" fillId="3" borderId="1" xfId="7" applyFont="1" applyFill="1" applyBorder="1" applyAlignment="1">
      <alignment horizontal="center"/>
    </xf>
    <xf numFmtId="0" fontId="11" fillId="2" borderId="1" xfId="7" applyFont="1" applyFill="1" applyBorder="1" applyAlignment="1">
      <alignment horizontal="left" indent="1"/>
    </xf>
    <xf numFmtId="43" fontId="11" fillId="2" borderId="1" xfId="5" applyFont="1" applyFill="1" applyBorder="1"/>
    <xf numFmtId="43" fontId="11" fillId="2" borderId="1" xfId="0" applyNumberFormat="1" applyFont="1" applyFill="1" applyBorder="1"/>
    <xf numFmtId="43" fontId="14" fillId="5" borderId="1" xfId="5" applyFont="1" applyFill="1" applyBorder="1"/>
    <xf numFmtId="43" fontId="14" fillId="5" borderId="1" xfId="7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43" fontId="4" fillId="2" borderId="1" xfId="0" applyNumberFormat="1" applyFont="1" applyFill="1" applyBorder="1"/>
    <xf numFmtId="0" fontId="6" fillId="3" borderId="1" xfId="7" applyFont="1" applyFill="1" applyBorder="1" applyAlignment="1">
      <alignment horizontal="center" wrapText="1"/>
    </xf>
    <xf numFmtId="0" fontId="6" fillId="3" borderId="1" xfId="7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7" applyFont="1" applyFill="1" applyBorder="1" applyAlignment="1">
      <alignment horizontal="center"/>
    </xf>
    <xf numFmtId="0" fontId="7" fillId="2" borderId="0" xfId="0" applyFont="1" applyFill="1"/>
    <xf numFmtId="43" fontId="0" fillId="2" borderId="0" xfId="0" applyNumberFormat="1" applyFill="1"/>
    <xf numFmtId="17" fontId="6" fillId="2" borderId="0" xfId="7" applyNumberFormat="1" applyFont="1" applyFill="1" applyBorder="1" applyAlignment="1">
      <alignment horizontal="center"/>
    </xf>
    <xf numFmtId="0" fontId="8" fillId="2" borderId="0" xfId="0" applyFont="1" applyFill="1"/>
    <xf numFmtId="43" fontId="7" fillId="2" borderId="0" xfId="0" applyNumberFormat="1" applyFont="1" applyFill="1"/>
    <xf numFmtId="44" fontId="0" fillId="2" borderId="0" xfId="1" applyFont="1" applyFill="1"/>
    <xf numFmtId="171" fontId="0" fillId="2" borderId="0" xfId="0" applyNumberFormat="1" applyFill="1"/>
    <xf numFmtId="4" fontId="0" fillId="2" borderId="0" xfId="0" applyNumberFormat="1" applyFill="1"/>
    <xf numFmtId="44" fontId="0" fillId="2" borderId="0" xfId="0" applyNumberFormat="1" applyFill="1"/>
    <xf numFmtId="9" fontId="0" fillId="2" borderId="0" xfId="6" applyFont="1" applyFill="1"/>
    <xf numFmtId="9" fontId="0" fillId="2" borderId="0" xfId="0" applyNumberFormat="1" applyFill="1"/>
    <xf numFmtId="9" fontId="6" fillId="3" borderId="16" xfId="7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/>
    <xf numFmtId="43" fontId="0" fillId="2" borderId="1" xfId="0" applyNumberFormat="1" applyFill="1" applyBorder="1" applyAlignment="1">
      <alignment horizontal="center"/>
    </xf>
    <xf numFmtId="169" fontId="0" fillId="2" borderId="1" xfId="6" applyNumberFormat="1" applyFont="1" applyFill="1" applyBorder="1"/>
    <xf numFmtId="170" fontId="0" fillId="2" borderId="1" xfId="0" applyNumberFormat="1" applyFill="1" applyBorder="1"/>
    <xf numFmtId="43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6" fillId="3" borderId="15" xfId="7" applyFont="1" applyFill="1" applyBorder="1" applyAlignment="1"/>
    <xf numFmtId="0" fontId="6" fillId="3" borderId="37" xfId="7" applyFont="1" applyFill="1" applyBorder="1" applyAlignment="1">
      <alignment horizontal="left"/>
    </xf>
    <xf numFmtId="0" fontId="6" fillId="3" borderId="0" xfId="7" applyFont="1" applyFill="1" applyBorder="1" applyAlignment="1">
      <alignment horizontal="left"/>
    </xf>
    <xf numFmtId="4" fontId="6" fillId="4" borderId="1" xfId="5" applyNumberFormat="1" applyFont="1" applyFill="1" applyBorder="1" applyAlignment="1">
      <alignment horizontal="right" wrapText="1"/>
    </xf>
    <xf numFmtId="9" fontId="6" fillId="4" borderId="1" xfId="6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4" fillId="0" borderId="17" xfId="0" applyFont="1" applyBorder="1" applyAlignment="1">
      <alignment horizontal="left" vertical="center"/>
    </xf>
    <xf numFmtId="39" fontId="14" fillId="0" borderId="1" xfId="0" applyNumberFormat="1" applyFont="1" applyBorder="1" applyAlignment="1">
      <alignment vertical="center"/>
    </xf>
    <xf numFmtId="43" fontId="14" fillId="0" borderId="1" xfId="5" applyFont="1" applyFill="1" applyBorder="1" applyAlignment="1">
      <alignment vertical="center"/>
    </xf>
    <xf numFmtId="43" fontId="11" fillId="0" borderId="1" xfId="5" applyFont="1" applyFill="1" applyBorder="1" applyAlignment="1">
      <alignment vertical="center"/>
    </xf>
    <xf numFmtId="4" fontId="11" fillId="0" borderId="18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39" fontId="11" fillId="0" borderId="1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" fontId="14" fillId="0" borderId="18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9" fontId="11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9" fontId="14" fillId="0" borderId="18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39" fontId="14" fillId="8" borderId="1" xfId="0" applyNumberFormat="1" applyFont="1" applyFill="1" applyBorder="1" applyAlignment="1">
      <alignment vertical="center"/>
    </xf>
    <xf numFmtId="39" fontId="14" fillId="8" borderId="18" xfId="0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43" fontId="11" fillId="0" borderId="18" xfId="5" applyFont="1" applyFill="1" applyBorder="1" applyAlignment="1">
      <alignment vertical="center"/>
    </xf>
    <xf numFmtId="39" fontId="14" fillId="0" borderId="18" xfId="0" applyNumberFormat="1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39" fontId="14" fillId="7" borderId="21" xfId="0" applyNumberFormat="1" applyFont="1" applyFill="1" applyBorder="1" applyAlignment="1">
      <alignment vertical="center"/>
    </xf>
    <xf numFmtId="39" fontId="14" fillId="7" borderId="23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39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24" xfId="0" applyFont="1" applyBorder="1" applyAlignment="1">
      <alignment horizontal="left" vertical="center"/>
    </xf>
    <xf numFmtId="39" fontId="14" fillId="0" borderId="25" xfId="0" applyNumberFormat="1" applyFont="1" applyBorder="1" applyAlignment="1">
      <alignment vertical="center"/>
    </xf>
    <xf numFmtId="168" fontId="14" fillId="0" borderId="25" xfId="0" applyNumberFormat="1" applyFont="1" applyBorder="1" applyAlignment="1">
      <alignment vertical="center"/>
    </xf>
    <xf numFmtId="43" fontId="14" fillId="0" borderId="25" xfId="5" applyFont="1" applyFill="1" applyBorder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/>
    </xf>
    <xf numFmtId="39" fontId="11" fillId="0" borderId="3" xfId="0" applyNumberFormat="1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39" fontId="11" fillId="0" borderId="19" xfId="0" applyNumberFormat="1" applyFont="1" applyBorder="1" applyAlignment="1">
      <alignment vertical="center"/>
    </xf>
    <xf numFmtId="39" fontId="11" fillId="0" borderId="28" xfId="0" applyNumberFormat="1" applyFont="1" applyBorder="1" applyAlignment="1">
      <alignment horizontal="right" vertical="center"/>
    </xf>
    <xf numFmtId="39" fontId="14" fillId="0" borderId="0" xfId="0" applyNumberFormat="1" applyFont="1" applyAlignment="1">
      <alignment horizontal="right" vertical="center"/>
    </xf>
    <xf numFmtId="39" fontId="14" fillId="7" borderId="1" xfId="0" applyNumberFormat="1" applyFont="1" applyFill="1" applyBorder="1" applyAlignment="1">
      <alignment vertical="center"/>
    </xf>
    <xf numFmtId="39" fontId="14" fillId="7" borderId="18" xfId="0" applyNumberFormat="1" applyFont="1" applyFill="1" applyBorder="1" applyAlignment="1">
      <alignment horizontal="right" vertical="center"/>
    </xf>
    <xf numFmtId="43" fontId="14" fillId="0" borderId="18" xfId="5" applyFont="1" applyFill="1" applyBorder="1" applyAlignment="1">
      <alignment vertical="center"/>
    </xf>
    <xf numFmtId="39" fontId="14" fillId="0" borderId="21" xfId="0" applyNumberFormat="1" applyFont="1" applyBorder="1" applyAlignment="1">
      <alignment vertical="center"/>
    </xf>
    <xf numFmtId="43" fontId="14" fillId="0" borderId="0" xfId="5" applyFont="1" applyFill="1" applyBorder="1" applyAlignment="1">
      <alignment vertical="center"/>
    </xf>
    <xf numFmtId="0" fontId="16" fillId="6" borderId="36" xfId="0" applyFont="1" applyFill="1" applyBorder="1" applyAlignment="1">
      <alignment horizontal="left" vertical="center"/>
    </xf>
    <xf numFmtId="39" fontId="14" fillId="0" borderId="19" xfId="0" applyNumberFormat="1" applyFont="1" applyBorder="1" applyAlignment="1">
      <alignment vertical="center"/>
    </xf>
    <xf numFmtId="39" fontId="14" fillId="0" borderId="28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7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7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7" fontId="14" fillId="0" borderId="1" xfId="0" applyNumberFormat="1" applyFont="1" applyBorder="1" applyAlignment="1">
      <alignment vertical="center"/>
    </xf>
    <xf numFmtId="167" fontId="11" fillId="0" borderId="1" xfId="6" applyNumberFormat="1" applyFont="1" applyFill="1" applyBorder="1" applyAlignment="1">
      <alignment vertical="center"/>
    </xf>
    <xf numFmtId="167" fontId="11" fillId="0" borderId="1" xfId="6" applyNumberFormat="1" applyFont="1" applyFill="1" applyBorder="1" applyAlignment="1">
      <alignment horizontal="right" vertical="center"/>
    </xf>
    <xf numFmtId="167" fontId="14" fillId="0" borderId="1" xfId="6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/>
    </xf>
    <xf numFmtId="43" fontId="11" fillId="0" borderId="0" xfId="5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72" fontId="11" fillId="0" borderId="0" xfId="5" applyNumberFormat="1" applyFont="1" applyFill="1" applyAlignment="1">
      <alignment vertical="center"/>
    </xf>
    <xf numFmtId="165" fontId="11" fillId="0" borderId="0" xfId="0" applyNumberFormat="1" applyFont="1" applyAlignment="1">
      <alignment vertical="center"/>
    </xf>
    <xf numFmtId="43" fontId="14" fillId="0" borderId="0" xfId="5" applyFont="1" applyFill="1" applyAlignment="1">
      <alignment vertical="center"/>
    </xf>
    <xf numFmtId="43" fontId="11" fillId="0" borderId="0" xfId="5" applyFont="1" applyFill="1"/>
    <xf numFmtId="0" fontId="11" fillId="0" borderId="0" xfId="0" applyFont="1" applyAlignment="1">
      <alignment horizontal="right"/>
    </xf>
    <xf numFmtId="165" fontId="11" fillId="0" borderId="0" xfId="0" applyNumberFormat="1" applyFont="1"/>
    <xf numFmtId="166" fontId="11" fillId="0" borderId="1" xfId="0" applyNumberFormat="1" applyFont="1" applyBorder="1" applyAlignment="1">
      <alignment horizontal="right" vertical="center"/>
    </xf>
    <xf numFmtId="39" fontId="11" fillId="0" borderId="1" xfId="0" applyNumberFormat="1" applyFont="1" applyBorder="1" applyAlignment="1">
      <alignment horizontal="right" vertical="center"/>
    </xf>
    <xf numFmtId="43" fontId="11" fillId="0" borderId="1" xfId="5" applyFont="1" applyFill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4" fontId="14" fillId="0" borderId="34" xfId="0" applyNumberFormat="1" applyFont="1" applyBorder="1" applyAlignment="1">
      <alignment vertical="center"/>
    </xf>
    <xf numFmtId="39" fontId="11" fillId="0" borderId="3" xfId="0" applyNumberFormat="1" applyFont="1" applyBorder="1" applyAlignment="1">
      <alignment horizontal="right" vertical="center"/>
    </xf>
    <xf numFmtId="39" fontId="11" fillId="0" borderId="0" xfId="0" applyNumberFormat="1" applyFont="1" applyAlignment="1">
      <alignment vertical="center"/>
    </xf>
    <xf numFmtId="43" fontId="11" fillId="0" borderId="29" xfId="5" applyFont="1" applyFill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165" fontId="11" fillId="0" borderId="30" xfId="0" applyNumberFormat="1" applyFont="1" applyBorder="1" applyAlignment="1">
      <alignment horizontal="right" vertical="center"/>
    </xf>
    <xf numFmtId="43" fontId="11" fillId="0" borderId="31" xfId="5" applyFont="1" applyFill="1" applyBorder="1" applyAlignment="1">
      <alignment vertical="center"/>
    </xf>
    <xf numFmtId="165" fontId="11" fillId="0" borderId="32" xfId="0" applyNumberFormat="1" applyFont="1" applyBorder="1" applyAlignment="1">
      <alignment horizontal="right" vertical="center"/>
    </xf>
    <xf numFmtId="20" fontId="11" fillId="0" borderId="0" xfId="0" applyNumberFormat="1" applyFont="1" applyAlignment="1">
      <alignment vertical="center"/>
    </xf>
    <xf numFmtId="0" fontId="14" fillId="0" borderId="27" xfId="0" applyFont="1" applyBorder="1" applyAlignment="1">
      <alignment vertical="center"/>
    </xf>
    <xf numFmtId="165" fontId="14" fillId="7" borderId="1" xfId="0" applyNumberFormat="1" applyFont="1" applyFill="1" applyBorder="1" applyAlignment="1">
      <alignment vertical="center"/>
    </xf>
    <xf numFmtId="165" fontId="14" fillId="0" borderId="18" xfId="0" applyNumberFormat="1" applyFont="1" applyBorder="1" applyAlignment="1">
      <alignment vertical="center"/>
    </xf>
    <xf numFmtId="165" fontId="14" fillId="7" borderId="2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right" vertical="center"/>
    </xf>
    <xf numFmtId="39" fontId="11" fillId="0" borderId="18" xfId="0" applyNumberFormat="1" applyFont="1" applyBorder="1" applyAlignment="1">
      <alignment vertical="center"/>
    </xf>
    <xf numFmtId="0" fontId="14" fillId="7" borderId="17" xfId="0" applyFont="1" applyFill="1" applyBorder="1" applyAlignment="1">
      <alignment horizontal="left" vertical="center"/>
    </xf>
    <xf numFmtId="49" fontId="14" fillId="0" borderId="25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39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9" fontId="14" fillId="0" borderId="1" xfId="0" applyNumberFormat="1" applyFont="1" applyBorder="1" applyAlignment="1">
      <alignment horizontal="right" vertical="center"/>
    </xf>
    <xf numFmtId="0" fontId="14" fillId="7" borderId="1" xfId="0" applyFont="1" applyFill="1" applyBorder="1" applyAlignment="1">
      <alignment horizontal="left" vertical="center"/>
    </xf>
    <xf numFmtId="39" fontId="14" fillId="7" borderId="1" xfId="0" applyNumberFormat="1" applyFont="1" applyFill="1" applyBorder="1" applyAlignment="1">
      <alignment horizontal="right" vertical="center"/>
    </xf>
    <xf numFmtId="43" fontId="11" fillId="9" borderId="1" xfId="5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43" fontId="11" fillId="0" borderId="4" xfId="5" applyFont="1" applyFill="1" applyBorder="1" applyAlignment="1">
      <alignment vertical="center"/>
    </xf>
    <xf numFmtId="43" fontId="11" fillId="0" borderId="47" xfId="5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4" fillId="0" borderId="48" xfId="0" applyFont="1" applyBorder="1" applyAlignment="1">
      <alignment horizontal="left" vertical="center"/>
    </xf>
    <xf numFmtId="39" fontId="14" fillId="7" borderId="19" xfId="0" applyNumberFormat="1" applyFont="1" applyFill="1" applyBorder="1" applyAlignment="1">
      <alignment vertical="center"/>
    </xf>
    <xf numFmtId="39" fontId="14" fillId="7" borderId="28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6" fillId="3" borderId="15" xfId="7" applyFont="1" applyFill="1" applyBorder="1" applyAlignment="1">
      <alignment horizontal="center"/>
    </xf>
    <xf numFmtId="0" fontId="6" fillId="3" borderId="16" xfId="7" applyFont="1" applyFill="1" applyBorder="1" applyAlignment="1">
      <alignment horizontal="center"/>
    </xf>
    <xf numFmtId="0" fontId="10" fillId="5" borderId="0" xfId="7" applyFont="1" applyFill="1" applyBorder="1" applyAlignment="1">
      <alignment horizontal="center"/>
    </xf>
    <xf numFmtId="0" fontId="5" fillId="0" borderId="46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41" xfId="0" applyFont="1" applyBorder="1" applyAlignment="1">
      <alignment horizontal="left"/>
    </xf>
    <xf numFmtId="0" fontId="6" fillId="3" borderId="4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67" fontId="11" fillId="9" borderId="1" xfId="0" applyNumberFormat="1" applyFont="1" applyFill="1" applyBorder="1" applyAlignment="1">
      <alignment horizontal="right" vertical="center"/>
    </xf>
    <xf numFmtId="0" fontId="6" fillId="3" borderId="1" xfId="7" applyFont="1" applyFill="1" applyBorder="1" applyAlignment="1">
      <alignment horizontal="center"/>
    </xf>
    <xf numFmtId="0" fontId="14" fillId="5" borderId="1" xfId="7" applyFont="1" applyFill="1" applyBorder="1" applyAlignment="1">
      <alignment horizontal="center"/>
    </xf>
    <xf numFmtId="43" fontId="17" fillId="4" borderId="38" xfId="0" applyNumberFormat="1" applyFont="1" applyFill="1" applyBorder="1" applyAlignment="1">
      <alignment horizontal="center" vertical="center" wrapText="1"/>
    </xf>
    <xf numFmtId="43" fontId="17" fillId="4" borderId="39" xfId="0" applyNumberFormat="1" applyFont="1" applyFill="1" applyBorder="1" applyAlignment="1">
      <alignment horizontal="center" vertical="center" wrapText="1"/>
    </xf>
    <xf numFmtId="43" fontId="17" fillId="4" borderId="40" xfId="0" applyNumberFormat="1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 customBuiltin="1"/>
    <cellStyle name="Normal 2" xfId="2" xr:uid="{00000000-0005-0000-0000-000002000000}"/>
    <cellStyle name="Normal 2 2" xfId="3" xr:uid="{00000000-0005-0000-0000-000003000000}"/>
    <cellStyle name="Normal 3" xfId="7" xr:uid="{00000000-0005-0000-0000-000004000000}"/>
    <cellStyle name="Porcentagem" xfId="6" builtinId="5"/>
    <cellStyle name="Vírgula" xfId="5" builtinId="3"/>
    <cellStyle name="Vírgula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39</xdr:row>
      <xdr:rowOff>31377</xdr:rowOff>
    </xdr:from>
    <xdr:to>
      <xdr:col>0</xdr:col>
      <xdr:colOff>1848971</xdr:colOff>
      <xdr:row>40</xdr:row>
      <xdr:rowOff>117102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6159885C-D3E8-49C1-9C2A-0E8DE859914A}"/>
            </a:ext>
          </a:extLst>
        </xdr:cNvPr>
        <xdr:cNvSpPr/>
      </xdr:nvSpPr>
      <xdr:spPr>
        <a:xfrm>
          <a:off x="295275" y="6721289"/>
          <a:ext cx="1553696" cy="2762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I-OR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-2018</a:t>
          </a:r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295274</xdr:colOff>
      <xdr:row>40</xdr:row>
      <xdr:rowOff>154642</xdr:rowOff>
    </xdr:from>
    <xdr:to>
      <xdr:col>0</xdr:col>
      <xdr:colOff>1860176</xdr:colOff>
      <xdr:row>42</xdr:row>
      <xdr:rowOff>49867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46AF5655-2F3E-4071-8FED-E2F52D05373B}"/>
            </a:ext>
          </a:extLst>
        </xdr:cNvPr>
        <xdr:cNvSpPr/>
      </xdr:nvSpPr>
      <xdr:spPr>
        <a:xfrm>
          <a:off x="295274" y="7035054"/>
          <a:ext cx="1564902" cy="2762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I-OR-2019</a:t>
          </a:r>
        </a:p>
      </xdr:txBody>
    </xdr:sp>
    <xdr:clientData/>
  </xdr:twoCellAnchor>
  <xdr:twoCellAnchor>
    <xdr:from>
      <xdr:col>2</xdr:col>
      <xdr:colOff>372316</xdr:colOff>
      <xdr:row>37</xdr:row>
      <xdr:rowOff>78627</xdr:rowOff>
    </xdr:from>
    <xdr:to>
      <xdr:col>2</xdr:col>
      <xdr:colOff>1848691</xdr:colOff>
      <xdr:row>42</xdr:row>
      <xdr:rowOff>78441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340DE87C-FDB2-442B-8356-2AB315BB8156}"/>
            </a:ext>
          </a:extLst>
        </xdr:cNvPr>
        <xdr:cNvSpPr/>
      </xdr:nvSpPr>
      <xdr:spPr>
        <a:xfrm>
          <a:off x="4933110" y="6387539"/>
          <a:ext cx="1476375" cy="952314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A-Cálculo</a:t>
          </a:r>
          <a:r>
            <a:rPr lang="pt-BR" sz="1100" b="1" baseline="0"/>
            <a:t> de Outras Receitas Consolidado.</a:t>
          </a:r>
          <a:endParaRPr lang="pt-BR" sz="1100" b="1"/>
        </a:p>
      </xdr:txBody>
    </xdr:sp>
    <xdr:clientData/>
  </xdr:twoCellAnchor>
  <xdr:twoCellAnchor>
    <xdr:from>
      <xdr:col>3</xdr:col>
      <xdr:colOff>1389528</xdr:colOff>
      <xdr:row>41</xdr:row>
      <xdr:rowOff>171454</xdr:rowOff>
    </xdr:from>
    <xdr:to>
      <xdr:col>4</xdr:col>
      <xdr:colOff>1378322</xdr:colOff>
      <xdr:row>45</xdr:row>
      <xdr:rowOff>78443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96F4B832-79C7-43FC-B8CE-6B719B524B69}"/>
            </a:ext>
          </a:extLst>
        </xdr:cNvPr>
        <xdr:cNvSpPr/>
      </xdr:nvSpPr>
      <xdr:spPr>
        <a:xfrm>
          <a:off x="7967381" y="7242366"/>
          <a:ext cx="1602441" cy="66898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R</a:t>
          </a:r>
          <a:r>
            <a:rPr lang="pt-BR" sz="1100" b="1" baseline="0"/>
            <a:t>- Compartilhamento de Outras Receitas.</a:t>
          </a:r>
          <a:endParaRPr lang="pt-BR" sz="1100" b="1"/>
        </a:p>
      </xdr:txBody>
    </xdr:sp>
    <xdr:clientData/>
  </xdr:twoCellAnchor>
  <xdr:twoCellAnchor>
    <xdr:from>
      <xdr:col>0</xdr:col>
      <xdr:colOff>1855694</xdr:colOff>
      <xdr:row>37</xdr:row>
      <xdr:rowOff>176213</xdr:rowOff>
    </xdr:from>
    <xdr:to>
      <xdr:col>2</xdr:col>
      <xdr:colOff>372316</xdr:colOff>
      <xdr:row>39</xdr:row>
      <xdr:rowOff>173784</xdr:rowOff>
    </xdr:to>
    <xdr:cxnSp macro="">
      <xdr:nvCxnSpPr>
        <xdr:cNvPr id="20" name="Conector: Angulado 19">
          <a:extLst>
            <a:ext uri="{FF2B5EF4-FFF2-40B4-BE49-F238E27FC236}">
              <a16:creationId xmlns:a16="http://schemas.microsoft.com/office/drawing/2014/main" id="{EF4B5243-126A-452F-9CD8-E02B46E47D78}"/>
            </a:ext>
          </a:extLst>
        </xdr:cNvPr>
        <xdr:cNvCxnSpPr>
          <a:stCxn id="21" idx="3"/>
          <a:endCxn id="10" idx="1"/>
        </xdr:cNvCxnSpPr>
      </xdr:nvCxnSpPr>
      <xdr:spPr>
        <a:xfrm>
          <a:off x="1855694" y="6485125"/>
          <a:ext cx="3077416" cy="37857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1871381</xdr:colOff>
      <xdr:row>44</xdr:row>
      <xdr:rowOff>33618</xdr:rowOff>
    </xdr:from>
    <xdr:to>
      <xdr:col>2</xdr:col>
      <xdr:colOff>313765</xdr:colOff>
      <xdr:row>47</xdr:row>
      <xdr:rowOff>177149</xdr:rowOff>
    </xdr:to>
    <xdr:cxnSp macro="">
      <xdr:nvCxnSpPr>
        <xdr:cNvPr id="26" name="Conector: Angulado 25">
          <a:extLst>
            <a:ext uri="{FF2B5EF4-FFF2-40B4-BE49-F238E27FC236}">
              <a16:creationId xmlns:a16="http://schemas.microsoft.com/office/drawing/2014/main" id="{729C9A12-79C0-4DCB-A72D-A8D6422ACAF1}"/>
            </a:ext>
          </a:extLst>
        </xdr:cNvPr>
        <xdr:cNvCxnSpPr>
          <a:stCxn id="15" idx="3"/>
          <a:endCxn id="23" idx="1"/>
        </xdr:cNvCxnSpPr>
      </xdr:nvCxnSpPr>
      <xdr:spPr>
        <a:xfrm>
          <a:off x="1871381" y="7676030"/>
          <a:ext cx="3003178" cy="71503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1848691</xdr:colOff>
      <xdr:row>39</xdr:row>
      <xdr:rowOff>173784</xdr:rowOff>
    </xdr:from>
    <xdr:to>
      <xdr:col>3</xdr:col>
      <xdr:colOff>1389528</xdr:colOff>
      <xdr:row>43</xdr:row>
      <xdr:rowOff>124949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D4E470E0-8498-4CB2-88C1-CB1BB3A9A964}"/>
            </a:ext>
          </a:extLst>
        </xdr:cNvPr>
        <xdr:cNvCxnSpPr>
          <a:stCxn id="10" idx="3"/>
          <a:endCxn id="12" idx="1"/>
        </xdr:cNvCxnSpPr>
      </xdr:nvCxnSpPr>
      <xdr:spPr>
        <a:xfrm>
          <a:off x="6409485" y="6863696"/>
          <a:ext cx="1557896" cy="713165"/>
        </a:xfrm>
        <a:prstGeom prst="bentConnector3">
          <a:avLst>
            <a:gd name="adj1" fmla="val 47123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313204</xdr:colOff>
      <xdr:row>46</xdr:row>
      <xdr:rowOff>15690</xdr:rowOff>
    </xdr:from>
    <xdr:to>
      <xdr:col>0</xdr:col>
      <xdr:colOff>1882588</xdr:colOff>
      <xdr:row>49</xdr:row>
      <xdr:rowOff>145676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514717BD-0818-4811-9491-6F807CE53F69}"/>
            </a:ext>
          </a:extLst>
        </xdr:cNvPr>
        <xdr:cNvSpPr/>
      </xdr:nvSpPr>
      <xdr:spPr>
        <a:xfrm>
          <a:off x="313204" y="8039102"/>
          <a:ext cx="1569384" cy="70148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I-Apur.PASEP_COFINS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2018</a:t>
          </a:r>
          <a:endParaRPr lang="pt-BR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302560</xdr:colOff>
      <xdr:row>50</xdr:row>
      <xdr:rowOff>44823</xdr:rowOff>
    </xdr:from>
    <xdr:to>
      <xdr:col>0</xdr:col>
      <xdr:colOff>1893794</xdr:colOff>
      <xdr:row>54</xdr:row>
      <xdr:rowOff>29697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F8A64682-EAF0-4D6B-9E04-32E7C471EF34}"/>
            </a:ext>
          </a:extLst>
        </xdr:cNvPr>
        <xdr:cNvSpPr/>
      </xdr:nvSpPr>
      <xdr:spPr>
        <a:xfrm>
          <a:off x="302560" y="8830235"/>
          <a:ext cx="1591234" cy="74687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I-Apur.PASEP_COFINS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2019</a:t>
          </a:r>
          <a:endParaRPr lang="pt-BR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301998</xdr:colOff>
      <xdr:row>42</xdr:row>
      <xdr:rowOff>123265</xdr:rowOff>
    </xdr:from>
    <xdr:to>
      <xdr:col>0</xdr:col>
      <xdr:colOff>1871381</xdr:colOff>
      <xdr:row>45</xdr:row>
      <xdr:rowOff>134471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9082E9A3-E605-48C8-99AD-D7F1A8F3C87C}"/>
            </a:ext>
          </a:extLst>
        </xdr:cNvPr>
        <xdr:cNvSpPr/>
      </xdr:nvSpPr>
      <xdr:spPr>
        <a:xfrm>
          <a:off x="301998" y="7384677"/>
          <a:ext cx="1569383" cy="58270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I-Apur.</a:t>
          </a:r>
          <a:r>
            <a:rPr lang="pt-BR" sz="1100" b="1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PASEP</a:t>
          </a:r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_</a:t>
          </a:r>
          <a:r>
            <a:rPr lang="pt-BR" sz="1100" b="1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COFINS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2017</a:t>
          </a:r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1860176</xdr:colOff>
      <xdr:row>39</xdr:row>
      <xdr:rowOff>173784</xdr:rowOff>
    </xdr:from>
    <xdr:to>
      <xdr:col>2</xdr:col>
      <xdr:colOff>372316</xdr:colOff>
      <xdr:row>41</xdr:row>
      <xdr:rowOff>102255</xdr:rowOff>
    </xdr:to>
    <xdr:cxnSp macro="">
      <xdr:nvCxnSpPr>
        <xdr:cNvPr id="18" name="Conector: Angulado 17">
          <a:extLst>
            <a:ext uri="{FF2B5EF4-FFF2-40B4-BE49-F238E27FC236}">
              <a16:creationId xmlns:a16="http://schemas.microsoft.com/office/drawing/2014/main" id="{8478A883-29EE-4A92-9BEB-7731B9E64C97}"/>
            </a:ext>
          </a:extLst>
        </xdr:cNvPr>
        <xdr:cNvCxnSpPr>
          <a:stCxn id="7" idx="3"/>
          <a:endCxn id="10" idx="1"/>
        </xdr:cNvCxnSpPr>
      </xdr:nvCxnSpPr>
      <xdr:spPr>
        <a:xfrm flipV="1">
          <a:off x="1860176" y="6863696"/>
          <a:ext cx="3072934" cy="30947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313765</xdr:colOff>
      <xdr:row>45</xdr:row>
      <xdr:rowOff>96559</xdr:rowOff>
    </xdr:from>
    <xdr:to>
      <xdr:col>2</xdr:col>
      <xdr:colOff>1781734</xdr:colOff>
      <xdr:row>50</xdr:row>
      <xdr:rowOff>67238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EE3C56D9-BB1D-4708-981D-1399575FF643}"/>
            </a:ext>
          </a:extLst>
        </xdr:cNvPr>
        <xdr:cNvSpPr/>
      </xdr:nvSpPr>
      <xdr:spPr>
        <a:xfrm>
          <a:off x="4874559" y="7929471"/>
          <a:ext cx="1467969" cy="923179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A-Cálculo</a:t>
          </a:r>
          <a:r>
            <a:rPr lang="pt-BR" sz="1100" b="1" baseline="0"/>
            <a:t> PASEP e COFINS Consolidado</a:t>
          </a:r>
          <a:endParaRPr lang="pt-BR" sz="1100" b="1"/>
        </a:p>
      </xdr:txBody>
    </xdr:sp>
    <xdr:clientData/>
  </xdr:twoCellAnchor>
  <xdr:twoCellAnchor>
    <xdr:from>
      <xdr:col>2</xdr:col>
      <xdr:colOff>1781734</xdr:colOff>
      <xdr:row>43</xdr:row>
      <xdr:rowOff>124949</xdr:rowOff>
    </xdr:from>
    <xdr:to>
      <xdr:col>3</xdr:col>
      <xdr:colOff>1389528</xdr:colOff>
      <xdr:row>47</xdr:row>
      <xdr:rowOff>177149</xdr:rowOff>
    </xdr:to>
    <xdr:cxnSp macro="">
      <xdr:nvCxnSpPr>
        <xdr:cNvPr id="28" name="Conector: Angulado 27">
          <a:extLst>
            <a:ext uri="{FF2B5EF4-FFF2-40B4-BE49-F238E27FC236}">
              <a16:creationId xmlns:a16="http://schemas.microsoft.com/office/drawing/2014/main" id="{F58B05C7-0421-494F-A46C-776120C76159}"/>
            </a:ext>
          </a:extLst>
        </xdr:cNvPr>
        <xdr:cNvCxnSpPr>
          <a:stCxn id="23" idx="3"/>
          <a:endCxn id="12" idx="1"/>
        </xdr:cNvCxnSpPr>
      </xdr:nvCxnSpPr>
      <xdr:spPr>
        <a:xfrm flipV="1">
          <a:off x="6342528" y="7576861"/>
          <a:ext cx="1624853" cy="81420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301998</xdr:colOff>
      <xdr:row>37</xdr:row>
      <xdr:rowOff>38100</xdr:rowOff>
    </xdr:from>
    <xdr:to>
      <xdr:col>0</xdr:col>
      <xdr:colOff>1855694</xdr:colOff>
      <xdr:row>38</xdr:row>
      <xdr:rowOff>123825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E830A77A-193F-494A-972C-C4593CB37F78}"/>
            </a:ext>
          </a:extLst>
        </xdr:cNvPr>
        <xdr:cNvSpPr/>
      </xdr:nvSpPr>
      <xdr:spPr>
        <a:xfrm>
          <a:off x="301998" y="6347012"/>
          <a:ext cx="1553696" cy="2762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I-OR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-2018</a:t>
          </a:r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1848971</xdr:colOff>
      <xdr:row>39</xdr:row>
      <xdr:rowOff>169490</xdr:rowOff>
    </xdr:from>
    <xdr:to>
      <xdr:col>2</xdr:col>
      <xdr:colOff>372316</xdr:colOff>
      <xdr:row>39</xdr:row>
      <xdr:rowOff>173784</xdr:rowOff>
    </xdr:to>
    <xdr:cxnSp macro="">
      <xdr:nvCxnSpPr>
        <xdr:cNvPr id="27" name="Conector: Angulado 26">
          <a:extLst>
            <a:ext uri="{FF2B5EF4-FFF2-40B4-BE49-F238E27FC236}">
              <a16:creationId xmlns:a16="http://schemas.microsoft.com/office/drawing/2014/main" id="{70A70BF2-7B41-4277-9A2A-9B91232707D7}"/>
            </a:ext>
          </a:extLst>
        </xdr:cNvPr>
        <xdr:cNvCxnSpPr>
          <a:stCxn id="6" idx="3"/>
          <a:endCxn id="10" idx="1"/>
        </xdr:cNvCxnSpPr>
      </xdr:nvCxnSpPr>
      <xdr:spPr>
        <a:xfrm>
          <a:off x="1848971" y="6859402"/>
          <a:ext cx="3084139" cy="429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1882588</xdr:colOff>
      <xdr:row>47</xdr:row>
      <xdr:rowOff>175933</xdr:rowOff>
    </xdr:from>
    <xdr:to>
      <xdr:col>2</xdr:col>
      <xdr:colOff>313765</xdr:colOff>
      <xdr:row>47</xdr:row>
      <xdr:rowOff>177149</xdr:rowOff>
    </xdr:to>
    <xdr:cxnSp macro="">
      <xdr:nvCxnSpPr>
        <xdr:cNvPr id="34" name="Conector: Angulado 33">
          <a:extLst>
            <a:ext uri="{FF2B5EF4-FFF2-40B4-BE49-F238E27FC236}">
              <a16:creationId xmlns:a16="http://schemas.microsoft.com/office/drawing/2014/main" id="{E5015CAC-970E-4EE6-B1EA-7313DD5E14C5}"/>
            </a:ext>
          </a:extLst>
        </xdr:cNvPr>
        <xdr:cNvCxnSpPr>
          <a:stCxn id="13" idx="3"/>
          <a:endCxn id="23" idx="1"/>
        </xdr:cNvCxnSpPr>
      </xdr:nvCxnSpPr>
      <xdr:spPr>
        <a:xfrm>
          <a:off x="1882588" y="8389845"/>
          <a:ext cx="2991971" cy="1216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1893794</xdr:colOff>
      <xdr:row>47</xdr:row>
      <xdr:rowOff>177149</xdr:rowOff>
    </xdr:from>
    <xdr:to>
      <xdr:col>2</xdr:col>
      <xdr:colOff>313765</xdr:colOff>
      <xdr:row>52</xdr:row>
      <xdr:rowOff>37260</xdr:rowOff>
    </xdr:to>
    <xdr:cxnSp macro="">
      <xdr:nvCxnSpPr>
        <xdr:cNvPr id="37" name="Conector: Angulado 36">
          <a:extLst>
            <a:ext uri="{FF2B5EF4-FFF2-40B4-BE49-F238E27FC236}">
              <a16:creationId xmlns:a16="http://schemas.microsoft.com/office/drawing/2014/main" id="{8B2EABA2-1F15-4A72-B4DB-0D0608F15878}"/>
            </a:ext>
          </a:extLst>
        </xdr:cNvPr>
        <xdr:cNvCxnSpPr>
          <a:stCxn id="14" idx="3"/>
          <a:endCxn id="23" idx="1"/>
        </xdr:cNvCxnSpPr>
      </xdr:nvCxnSpPr>
      <xdr:spPr>
        <a:xfrm flipV="1">
          <a:off x="1893794" y="8391061"/>
          <a:ext cx="2980765" cy="81261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="85" zoomScaleNormal="85" workbookViewId="0">
      <selection activeCell="H11" sqref="H11"/>
    </sheetView>
  </sheetViews>
  <sheetFormatPr defaultRowHeight="15" x14ac:dyDescent="0.25"/>
  <cols>
    <col min="1" max="1" width="39.140625" style="5" customWidth="1"/>
    <col min="2" max="2" width="29.28515625" style="5" customWidth="1"/>
    <col min="3" max="3" width="30.28515625" style="5" customWidth="1"/>
    <col min="4" max="4" width="24.140625" style="5" customWidth="1"/>
    <col min="5" max="5" width="23.5703125" style="5" customWidth="1"/>
    <col min="6" max="16384" width="9.140625" style="5"/>
  </cols>
  <sheetData>
    <row r="1" spans="1:5" x14ac:dyDescent="0.25">
      <c r="A1" s="4" t="s">
        <v>7</v>
      </c>
    </row>
    <row r="2" spans="1:5" x14ac:dyDescent="0.25">
      <c r="A2" s="197" t="s">
        <v>291</v>
      </c>
      <c r="B2" s="198"/>
      <c r="C2" s="198"/>
      <c r="D2" s="198"/>
      <c r="E2" s="199"/>
    </row>
    <row r="3" spans="1:5" x14ac:dyDescent="0.25">
      <c r="A3" s="200"/>
      <c r="B3" s="201"/>
      <c r="C3" s="201"/>
      <c r="D3" s="201"/>
      <c r="E3" s="202"/>
    </row>
    <row r="4" spans="1:5" x14ac:dyDescent="0.25">
      <c r="A4" s="200"/>
      <c r="B4" s="201"/>
      <c r="C4" s="201"/>
      <c r="D4" s="201"/>
      <c r="E4" s="202"/>
    </row>
    <row r="5" spans="1:5" x14ac:dyDescent="0.25">
      <c r="A5" s="200"/>
      <c r="B5" s="201"/>
      <c r="C5" s="201"/>
      <c r="D5" s="201"/>
      <c r="E5" s="202"/>
    </row>
    <row r="6" spans="1:5" x14ac:dyDescent="0.25">
      <c r="A6" s="200"/>
      <c r="B6" s="201"/>
      <c r="C6" s="201"/>
      <c r="D6" s="201"/>
      <c r="E6" s="202"/>
    </row>
    <row r="7" spans="1:5" x14ac:dyDescent="0.25">
      <c r="A7" s="200"/>
      <c r="B7" s="201"/>
      <c r="C7" s="201"/>
      <c r="D7" s="201"/>
      <c r="E7" s="202"/>
    </row>
    <row r="8" spans="1:5" x14ac:dyDescent="0.25">
      <c r="A8" s="200"/>
      <c r="B8" s="201"/>
      <c r="C8" s="201"/>
      <c r="D8" s="201"/>
      <c r="E8" s="202"/>
    </row>
    <row r="9" spans="1:5" x14ac:dyDescent="0.25">
      <c r="A9" s="200"/>
      <c r="B9" s="201"/>
      <c r="C9" s="201"/>
      <c r="D9" s="201"/>
      <c r="E9" s="202"/>
    </row>
    <row r="10" spans="1:5" x14ac:dyDescent="0.25">
      <c r="A10" s="200"/>
      <c r="B10" s="201"/>
      <c r="C10" s="201"/>
      <c r="D10" s="201"/>
      <c r="E10" s="202"/>
    </row>
    <row r="11" spans="1:5" x14ac:dyDescent="0.25">
      <c r="A11" s="200"/>
      <c r="B11" s="201"/>
      <c r="C11" s="201"/>
      <c r="D11" s="201"/>
      <c r="E11" s="202"/>
    </row>
    <row r="12" spans="1:5" x14ac:dyDescent="0.25">
      <c r="A12" s="200"/>
      <c r="B12" s="201"/>
      <c r="C12" s="201"/>
      <c r="D12" s="201"/>
      <c r="E12" s="202"/>
    </row>
    <row r="13" spans="1:5" x14ac:dyDescent="0.25">
      <c r="A13" s="203"/>
      <c r="B13" s="204"/>
      <c r="C13" s="204"/>
      <c r="D13" s="204"/>
      <c r="E13" s="205"/>
    </row>
    <row r="15" spans="1:5" x14ac:dyDescent="0.25">
      <c r="A15" s="4" t="s">
        <v>8</v>
      </c>
    </row>
    <row r="16" spans="1:5" x14ac:dyDescent="0.25">
      <c r="A16" s="206" t="s">
        <v>2</v>
      </c>
      <c r="B16" s="207"/>
      <c r="C16" s="207"/>
      <c r="D16" s="207"/>
      <c r="E16" s="208"/>
    </row>
    <row r="17" spans="1:5" x14ac:dyDescent="0.25">
      <c r="A17" s="6"/>
      <c r="B17" s="7"/>
      <c r="C17" s="7"/>
      <c r="D17" s="7"/>
      <c r="E17" s="8"/>
    </row>
    <row r="18" spans="1:5" ht="16.5" customHeight="1" x14ac:dyDescent="0.25">
      <c r="A18" s="200" t="s">
        <v>3</v>
      </c>
      <c r="B18" s="201"/>
      <c r="C18" s="201"/>
      <c r="D18" s="201"/>
      <c r="E18" s="202"/>
    </row>
    <row r="19" spans="1:5" x14ac:dyDescent="0.25">
      <c r="A19" s="200"/>
      <c r="B19" s="201"/>
      <c r="C19" s="201"/>
      <c r="D19" s="201"/>
      <c r="E19" s="202"/>
    </row>
    <row r="20" spans="1:5" x14ac:dyDescent="0.25">
      <c r="A20" s="9"/>
      <c r="B20" s="10"/>
      <c r="C20" s="10"/>
      <c r="D20" s="10"/>
      <c r="E20" s="11"/>
    </row>
    <row r="21" spans="1:5" x14ac:dyDescent="0.25">
      <c r="A21" s="209" t="s">
        <v>0</v>
      </c>
      <c r="B21" s="189"/>
      <c r="C21" s="189"/>
      <c r="D21" s="189"/>
      <c r="E21" s="190"/>
    </row>
    <row r="23" spans="1:5" x14ac:dyDescent="0.25">
      <c r="A23" s="4" t="s">
        <v>9</v>
      </c>
    </row>
    <row r="24" spans="1:5" x14ac:dyDescent="0.25">
      <c r="A24" s="12" t="s">
        <v>1</v>
      </c>
      <c r="B24" s="191" t="s">
        <v>10</v>
      </c>
      <c r="C24" s="192"/>
      <c r="D24" s="192"/>
      <c r="E24" s="193"/>
    </row>
    <row r="25" spans="1:5" x14ac:dyDescent="0.25">
      <c r="A25" s="183" t="s">
        <v>100</v>
      </c>
      <c r="B25" s="210" t="s">
        <v>101</v>
      </c>
      <c r="C25" s="207"/>
      <c r="D25" s="207"/>
      <c r="E25" s="208"/>
    </row>
    <row r="26" spans="1:5" x14ac:dyDescent="0.25">
      <c r="A26" s="28" t="s">
        <v>104</v>
      </c>
      <c r="B26" s="194" t="s">
        <v>102</v>
      </c>
      <c r="C26" s="195"/>
      <c r="D26" s="195"/>
      <c r="E26" s="196"/>
    </row>
    <row r="27" spans="1:5" x14ac:dyDescent="0.25">
      <c r="A27" s="29" t="s">
        <v>105</v>
      </c>
      <c r="B27" s="194" t="s">
        <v>103</v>
      </c>
      <c r="C27" s="195"/>
      <c r="D27" s="195"/>
      <c r="E27" s="196"/>
    </row>
    <row r="28" spans="1:5" x14ac:dyDescent="0.25">
      <c r="A28" s="28" t="s">
        <v>283</v>
      </c>
      <c r="B28" s="194" t="s">
        <v>286</v>
      </c>
      <c r="C28" s="195"/>
      <c r="D28" s="195"/>
      <c r="E28" s="196"/>
    </row>
    <row r="29" spans="1:5" x14ac:dyDescent="0.25">
      <c r="A29" s="29" t="s">
        <v>284</v>
      </c>
      <c r="B29" s="194" t="s">
        <v>287</v>
      </c>
      <c r="C29" s="195"/>
      <c r="D29" s="195"/>
      <c r="E29" s="196"/>
    </row>
    <row r="30" spans="1:5" x14ac:dyDescent="0.25">
      <c r="A30" s="29" t="s">
        <v>285</v>
      </c>
      <c r="B30" s="194" t="s">
        <v>288</v>
      </c>
      <c r="C30" s="195"/>
      <c r="D30" s="195"/>
      <c r="E30" s="196"/>
    </row>
    <row r="31" spans="1:5" x14ac:dyDescent="0.25">
      <c r="A31" s="28" t="s">
        <v>106</v>
      </c>
      <c r="B31" s="194" t="s">
        <v>107</v>
      </c>
      <c r="C31" s="195"/>
      <c r="D31" s="195"/>
      <c r="E31" s="196"/>
    </row>
    <row r="32" spans="1:5" x14ac:dyDescent="0.25">
      <c r="A32" s="28" t="s">
        <v>289</v>
      </c>
      <c r="B32" s="194" t="s">
        <v>290</v>
      </c>
      <c r="C32" s="195"/>
      <c r="D32" s="195"/>
      <c r="E32" s="196"/>
    </row>
    <row r="33" spans="1:5" x14ac:dyDescent="0.25">
      <c r="A33" s="184" t="s">
        <v>108</v>
      </c>
      <c r="B33" s="188" t="s">
        <v>109</v>
      </c>
      <c r="C33" s="189"/>
      <c r="D33" s="189"/>
      <c r="E33" s="190"/>
    </row>
    <row r="35" spans="1:5" x14ac:dyDescent="0.25">
      <c r="A35" s="4" t="s">
        <v>11</v>
      </c>
    </row>
    <row r="36" spans="1:5" x14ac:dyDescent="0.25">
      <c r="A36" s="13"/>
      <c r="B36" s="14"/>
      <c r="C36" s="14"/>
      <c r="D36" s="14"/>
      <c r="E36" s="15"/>
    </row>
    <row r="37" spans="1:5" x14ac:dyDescent="0.25">
      <c r="A37" s="16" t="s">
        <v>4</v>
      </c>
      <c r="B37" s="17"/>
      <c r="C37" s="18" t="s">
        <v>5</v>
      </c>
      <c r="D37" s="17"/>
      <c r="E37" s="19" t="s">
        <v>6</v>
      </c>
    </row>
    <row r="38" spans="1:5" x14ac:dyDescent="0.25">
      <c r="A38" s="20"/>
      <c r="B38" s="17"/>
      <c r="C38" s="17"/>
      <c r="D38" s="17"/>
      <c r="E38" s="21"/>
    </row>
    <row r="39" spans="1:5" x14ac:dyDescent="0.25">
      <c r="A39" s="20"/>
      <c r="B39" s="17"/>
      <c r="C39" s="17"/>
      <c r="D39" s="17"/>
      <c r="E39" s="22"/>
    </row>
    <row r="40" spans="1:5" x14ac:dyDescent="0.25">
      <c r="A40" s="20"/>
      <c r="B40" s="17"/>
      <c r="C40" s="17"/>
      <c r="D40" s="17"/>
      <c r="E40" s="22"/>
    </row>
    <row r="41" spans="1:5" x14ac:dyDescent="0.25">
      <c r="A41" s="20"/>
      <c r="B41" s="17"/>
      <c r="C41" s="17"/>
      <c r="D41" s="17"/>
      <c r="E41" s="21"/>
    </row>
    <row r="42" spans="1:5" x14ac:dyDescent="0.25">
      <c r="A42" s="20"/>
      <c r="B42" s="17"/>
      <c r="C42" s="17"/>
      <c r="D42" s="17"/>
      <c r="E42" s="22"/>
    </row>
    <row r="43" spans="1:5" x14ac:dyDescent="0.25">
      <c r="A43" s="20"/>
      <c r="B43" s="17"/>
      <c r="C43" s="17"/>
      <c r="D43" s="17"/>
      <c r="E43" s="22"/>
    </row>
    <row r="44" spans="1:5" x14ac:dyDescent="0.25">
      <c r="A44" s="20"/>
      <c r="B44" s="17"/>
      <c r="C44" s="17"/>
      <c r="D44" s="17"/>
      <c r="E44" s="22"/>
    </row>
    <row r="45" spans="1:5" x14ac:dyDescent="0.25">
      <c r="A45" s="20"/>
      <c r="B45" s="17"/>
      <c r="C45" s="17"/>
      <c r="D45" s="17"/>
      <c r="E45" s="22"/>
    </row>
    <row r="46" spans="1:5" x14ac:dyDescent="0.25">
      <c r="A46" s="20"/>
      <c r="B46" s="17"/>
      <c r="C46" s="17"/>
      <c r="D46" s="17"/>
      <c r="E46" s="22"/>
    </row>
    <row r="47" spans="1:5" x14ac:dyDescent="0.25">
      <c r="A47" s="35"/>
      <c r="B47" s="17"/>
      <c r="C47" s="17"/>
      <c r="D47" s="17"/>
      <c r="E47" s="22"/>
    </row>
    <row r="48" spans="1:5" x14ac:dyDescent="0.25">
      <c r="A48" s="20"/>
      <c r="B48" s="17"/>
      <c r="C48" s="17"/>
      <c r="D48" s="17"/>
      <c r="E48" s="22"/>
    </row>
    <row r="49" spans="1:5" x14ac:dyDescent="0.25">
      <c r="A49" s="20"/>
      <c r="B49" s="17"/>
      <c r="C49" s="17"/>
      <c r="D49" s="17"/>
      <c r="E49" s="22"/>
    </row>
    <row r="50" spans="1:5" x14ac:dyDescent="0.25">
      <c r="A50" s="20"/>
      <c r="B50" s="17"/>
      <c r="C50" s="17"/>
      <c r="D50" s="17"/>
      <c r="E50" s="22"/>
    </row>
    <row r="51" spans="1:5" x14ac:dyDescent="0.25">
      <c r="A51" s="20"/>
      <c r="B51" s="17"/>
      <c r="C51" s="17"/>
      <c r="D51" s="17"/>
      <c r="E51" s="22"/>
    </row>
    <row r="52" spans="1:5" x14ac:dyDescent="0.25">
      <c r="A52" s="20"/>
      <c r="B52" s="17"/>
      <c r="C52" s="17"/>
      <c r="D52" s="17"/>
      <c r="E52" s="22"/>
    </row>
    <row r="53" spans="1:5" x14ac:dyDescent="0.25">
      <c r="A53" s="20"/>
      <c r="B53" s="17"/>
      <c r="C53" s="17"/>
      <c r="D53" s="17"/>
      <c r="E53" s="22"/>
    </row>
    <row r="54" spans="1:5" x14ac:dyDescent="0.25">
      <c r="A54" s="20"/>
      <c r="B54" s="17"/>
      <c r="C54" s="17"/>
      <c r="D54" s="17"/>
      <c r="E54" s="22"/>
    </row>
    <row r="55" spans="1:5" x14ac:dyDescent="0.25">
      <c r="A55" s="23"/>
      <c r="B55" s="24"/>
      <c r="C55" s="24"/>
      <c r="D55" s="24"/>
      <c r="E55" s="25"/>
    </row>
  </sheetData>
  <mergeCells count="14">
    <mergeCell ref="A2:E13"/>
    <mergeCell ref="A16:E16"/>
    <mergeCell ref="A21:E21"/>
    <mergeCell ref="A18:E19"/>
    <mergeCell ref="B25:E25"/>
    <mergeCell ref="B33:E33"/>
    <mergeCell ref="B24:E24"/>
    <mergeCell ref="B32:E32"/>
    <mergeCell ref="B29:E29"/>
    <mergeCell ref="B28:E28"/>
    <mergeCell ref="B31:E31"/>
    <mergeCell ref="B26:E26"/>
    <mergeCell ref="B27:E27"/>
    <mergeCell ref="B30:E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8"/>
  <sheetViews>
    <sheetView zoomScaleNormal="100" workbookViewId="0">
      <selection activeCell="A7" sqref="A7"/>
    </sheetView>
  </sheetViews>
  <sheetFormatPr defaultRowHeight="15" x14ac:dyDescent="0.25"/>
  <cols>
    <col min="1" max="1" width="62" style="50" bestFit="1" customWidth="1"/>
    <col min="2" max="2" width="32.140625" style="50" bestFit="1" customWidth="1"/>
    <col min="3" max="3" width="17.42578125" style="50" bestFit="1" customWidth="1"/>
    <col min="4" max="4" width="12.7109375" style="50" bestFit="1" customWidth="1"/>
    <col min="5" max="5" width="16.28515625" style="50" hidden="1" customWidth="1"/>
    <col min="6" max="6" width="14.7109375" style="50" bestFit="1" customWidth="1"/>
    <col min="7" max="7" width="18.42578125" style="50" bestFit="1" customWidth="1"/>
    <col min="8" max="15" width="14" style="50" bestFit="1" customWidth="1"/>
    <col min="16" max="16" width="15.28515625" style="50" bestFit="1" customWidth="1"/>
    <col min="17" max="17" width="17.42578125" style="50" bestFit="1" customWidth="1"/>
    <col min="18" max="16384" width="9.140625" style="50"/>
  </cols>
  <sheetData>
    <row r="1" spans="1:17" x14ac:dyDescent="0.25">
      <c r="A1" s="4" t="s">
        <v>209</v>
      </c>
    </row>
    <row r="2" spans="1:17" ht="12.75" customHeight="1" x14ac:dyDescent="0.25">
      <c r="A2" s="70" t="s">
        <v>110</v>
      </c>
      <c r="B2" s="71" t="s">
        <v>157</v>
      </c>
      <c r="C2" s="72"/>
      <c r="E2" s="51"/>
    </row>
    <row r="3" spans="1:17" x14ac:dyDescent="0.25">
      <c r="A3" s="52"/>
      <c r="B3" s="73">
        <f>'A-CALCULO OR CONSOL'!G43</f>
        <v>181308472.06666666</v>
      </c>
      <c r="C3" s="73"/>
      <c r="E3" s="53"/>
    </row>
    <row r="4" spans="1:17" x14ac:dyDescent="0.25">
      <c r="A4" s="52"/>
      <c r="B4" s="52"/>
    </row>
    <row r="5" spans="1:17" ht="37.5" customHeight="1" x14ac:dyDescent="0.25">
      <c r="A5" s="48" t="s">
        <v>205</v>
      </c>
      <c r="B5" s="63" t="s">
        <v>206</v>
      </c>
      <c r="C5" s="33" t="s">
        <v>12</v>
      </c>
      <c r="D5" s="54"/>
      <c r="E5" s="54"/>
    </row>
    <row r="6" spans="1:17" x14ac:dyDescent="0.25">
      <c r="A6" s="52"/>
      <c r="B6" s="74">
        <v>0.75</v>
      </c>
      <c r="C6" s="73">
        <f>B3*$B$6</f>
        <v>135981354.05000001</v>
      </c>
      <c r="D6" s="53"/>
      <c r="E6" s="53"/>
    </row>
    <row r="7" spans="1:17" x14ac:dyDescent="0.25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6"/>
      <c r="Q7" s="53"/>
    </row>
    <row r="8" spans="1:17" x14ac:dyDescent="0.25">
      <c r="A8" s="4" t="s">
        <v>117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 ht="30" customHeight="1" x14ac:dyDescent="0.25">
      <c r="A9" s="49" t="s">
        <v>115</v>
      </c>
      <c r="B9" s="49" t="s">
        <v>116</v>
      </c>
      <c r="C9" s="49" t="s">
        <v>73</v>
      </c>
      <c r="D9" s="49" t="s">
        <v>203</v>
      </c>
      <c r="E9" s="49" t="s">
        <v>204</v>
      </c>
      <c r="F9" s="49" t="s">
        <v>74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x14ac:dyDescent="0.25">
      <c r="A10" s="64" t="s">
        <v>75</v>
      </c>
      <c r="B10" s="65" t="s">
        <v>76</v>
      </c>
      <c r="C10" s="64">
        <f>'A-CALCULO OR CONSOL'!G11</f>
        <v>102141839.35666667</v>
      </c>
      <c r="D10" s="66">
        <f>'A-CONSOL PASEP_COFINS'!E145</f>
        <v>7.0257624027067533E-2</v>
      </c>
      <c r="E10" s="67">
        <f>C10*D10</f>
        <v>7176242.9469538163</v>
      </c>
      <c r="F10" s="64">
        <f>C10-E10</f>
        <v>94965596.409712851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7" x14ac:dyDescent="0.25">
      <c r="A11" s="64" t="s">
        <v>77</v>
      </c>
      <c r="B11" s="68" t="s">
        <v>78</v>
      </c>
      <c r="C11" s="64">
        <f>'A-CALCULO OR CONSOL'!G20</f>
        <v>36591568.013333343</v>
      </c>
      <c r="D11" s="66">
        <f>'A-CONSOL PASEP_COFINS'!E145</f>
        <v>7.0257624027067533E-2</v>
      </c>
      <c r="E11" s="67">
        <f t="shared" ref="E11:E16" si="0">C11*D11</f>
        <v>2570836.6280416446</v>
      </c>
      <c r="F11" s="64">
        <f t="shared" ref="F11:F16" si="1">C11-E11</f>
        <v>34020731.385291696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7" x14ac:dyDescent="0.25">
      <c r="A12" s="64" t="s">
        <v>79</v>
      </c>
      <c r="B12" s="69">
        <v>116</v>
      </c>
      <c r="C12" s="64">
        <f>'A-CALCULO OR CONSOL'!G26</f>
        <v>16342873.356666667</v>
      </c>
      <c r="D12" s="66">
        <f>'A-CONSOL PASEP_COFINS'!E145</f>
        <v>7.0257624027067533E-2</v>
      </c>
      <c r="E12" s="67">
        <f t="shared" si="0"/>
        <v>1148211.4518146659</v>
      </c>
      <c r="F12" s="64">
        <f t="shared" si="1"/>
        <v>15194661.904852001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 x14ac:dyDescent="0.25">
      <c r="A13" s="64" t="s">
        <v>80</v>
      </c>
      <c r="B13" s="65">
        <v>0</v>
      </c>
      <c r="C13" s="64">
        <v>0</v>
      </c>
      <c r="D13" s="66">
        <f>'A-CONSOL PASEP_COFINS'!E145</f>
        <v>7.0257624027067533E-2</v>
      </c>
      <c r="E13" s="67">
        <f t="shared" si="0"/>
        <v>0</v>
      </c>
      <c r="F13" s="64">
        <f t="shared" si="1"/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7" x14ac:dyDescent="0.25">
      <c r="A14" s="64" t="s">
        <v>81</v>
      </c>
      <c r="B14" s="65" t="s">
        <v>82</v>
      </c>
      <c r="C14" s="64">
        <f>'A-CALCULO OR CONSOL'!G23+'A-CALCULO OR CONSOL'!G24+'A-CALCULO OR CONSOL'!G25+'A-CALCULO OR CONSOL'!G27+'A-CALCULO OR CONSOL'!G28</f>
        <v>47291.763333333336</v>
      </c>
      <c r="D14" s="66">
        <f>'A-CONSOL PASEP_COFINS'!E145</f>
        <v>7.0257624027067533E-2</v>
      </c>
      <c r="E14" s="67">
        <f t="shared" si="0"/>
        <v>3322.6069278503915</v>
      </c>
      <c r="F14" s="64">
        <f t="shared" si="1"/>
        <v>43969.156405482943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7" x14ac:dyDescent="0.25">
      <c r="A15" s="64" t="s">
        <v>83</v>
      </c>
      <c r="B15" s="65" t="s">
        <v>84</v>
      </c>
      <c r="C15" s="64">
        <f>'A-CALCULO OR CONSOL'!G29+'A-CALCULO OR CONSOL'!G30+'A-CALCULO OR CONSOL'!G31+'A-CALCULO OR CONSOL'!G32</f>
        <v>5636329.8466666667</v>
      </c>
      <c r="D15" s="66">
        <f>'A-CONSOL PASEP_COFINS'!E145</f>
        <v>7.0257624027067533E-2</v>
      </c>
      <c r="E15" s="67">
        <f t="shared" si="0"/>
        <v>395995.14325964585</v>
      </c>
      <c r="F15" s="64">
        <f t="shared" si="1"/>
        <v>5240334.7034070212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7" x14ac:dyDescent="0.25">
      <c r="A16" s="64" t="s">
        <v>85</v>
      </c>
      <c r="B16" s="65" t="s">
        <v>86</v>
      </c>
      <c r="C16" s="64">
        <f>'A-CALCULO OR CONSOL'!G36+'A-CALCULO OR CONSOL'!G37+'A-CALCULO OR CONSOL'!G38+'A-CALCULO OR CONSOL'!G39+'A-CALCULO OR CONSOL'!G40</f>
        <v>20548569.73</v>
      </c>
      <c r="D16" s="66">
        <f>'A-CONSOL PASEP_COFINS'!E145</f>
        <v>7.0257624027067533E-2</v>
      </c>
      <c r="E16" s="67">
        <f t="shared" si="0"/>
        <v>1443693.6863843207</v>
      </c>
      <c r="F16" s="64">
        <f t="shared" si="1"/>
        <v>19104876.04361568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x14ac:dyDescent="0.25">
      <c r="A17" s="26" t="s">
        <v>87</v>
      </c>
      <c r="B17" s="26"/>
      <c r="C17" s="27">
        <f>SUM(C10:C16)</f>
        <v>181308472.06666663</v>
      </c>
      <c r="D17" s="26"/>
      <c r="E17" s="26"/>
      <c r="F17" s="37">
        <f>SUM(F10:F16)</f>
        <v>168570169.60328472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x14ac:dyDescent="0.25">
      <c r="A18" s="26" t="s">
        <v>208</v>
      </c>
      <c r="B18" s="26"/>
      <c r="C18" s="27">
        <f>C6</f>
        <v>135981354.05000001</v>
      </c>
      <c r="D18" s="26"/>
      <c r="E18" s="26"/>
      <c r="F18" s="37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30" x14ac:dyDescent="0.25">
      <c r="A19" s="75" t="s">
        <v>207</v>
      </c>
      <c r="B19" s="227">
        <f>F17*B6</f>
        <v>126427627.20246354</v>
      </c>
      <c r="C19" s="228"/>
      <c r="D19" s="228"/>
      <c r="E19" s="228"/>
      <c r="F19" s="229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x14ac:dyDescent="0.25">
      <c r="A20" s="1" t="s">
        <v>282</v>
      </c>
      <c r="D20" s="57"/>
      <c r="E20" s="57"/>
      <c r="F20" s="57"/>
    </row>
    <row r="21" spans="1:16" x14ac:dyDescent="0.25">
      <c r="F21" s="58"/>
      <c r="G21" s="58"/>
    </row>
    <row r="22" spans="1:16" x14ac:dyDescent="0.25">
      <c r="C22" s="57"/>
      <c r="D22" s="57"/>
      <c r="E22" s="57"/>
      <c r="F22" s="59"/>
    </row>
    <row r="23" spans="1:16" x14ac:dyDescent="0.25">
      <c r="C23" s="57"/>
      <c r="D23" s="57"/>
      <c r="E23" s="57"/>
    </row>
    <row r="24" spans="1:16" x14ac:dyDescent="0.25">
      <c r="C24" s="60"/>
      <c r="D24" s="60"/>
      <c r="E24" s="60"/>
      <c r="G24" s="57"/>
    </row>
    <row r="25" spans="1:16" x14ac:dyDescent="0.25">
      <c r="G25" s="60"/>
    </row>
    <row r="27" spans="1:16" x14ac:dyDescent="0.25">
      <c r="G27" s="61"/>
    </row>
    <row r="28" spans="1:16" x14ac:dyDescent="0.25">
      <c r="H28" s="62"/>
    </row>
  </sheetData>
  <mergeCells count="1">
    <mergeCell ref="B19:F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2"/>
  <sheetViews>
    <sheetView workbookViewId="0">
      <selection activeCell="A42" sqref="A42"/>
    </sheetView>
  </sheetViews>
  <sheetFormatPr defaultRowHeight="15" x14ac:dyDescent="0.25"/>
  <cols>
    <col min="1" max="1" width="8" style="2" bestFit="1" customWidth="1"/>
    <col min="2" max="2" width="45" style="2" bestFit="1" customWidth="1"/>
    <col min="3" max="14" width="13.28515625" style="2" bestFit="1" customWidth="1"/>
    <col min="15" max="15" width="15.28515625" style="2" bestFit="1" customWidth="1"/>
    <col min="16" max="16384" width="9.140625" style="2"/>
  </cols>
  <sheetData>
    <row r="1" spans="1:15" x14ac:dyDescent="0.25">
      <c r="A1" s="1" t="s">
        <v>112</v>
      </c>
    </row>
    <row r="2" spans="1:15" x14ac:dyDescent="0.25">
      <c r="A2" s="211" t="s">
        <v>13</v>
      </c>
      <c r="B2" s="212"/>
      <c r="C2" s="33">
        <v>42736</v>
      </c>
      <c r="D2" s="33">
        <v>42767</v>
      </c>
      <c r="E2" s="33">
        <v>42795</v>
      </c>
      <c r="F2" s="33">
        <v>42826</v>
      </c>
      <c r="G2" s="33">
        <v>42856</v>
      </c>
      <c r="H2" s="33">
        <v>42887</v>
      </c>
      <c r="I2" s="33">
        <v>42917</v>
      </c>
      <c r="J2" s="33">
        <v>42948</v>
      </c>
      <c r="K2" s="33">
        <v>42979</v>
      </c>
      <c r="L2" s="33">
        <v>43009</v>
      </c>
      <c r="M2" s="33">
        <v>43040</v>
      </c>
      <c r="N2" s="33">
        <v>43070</v>
      </c>
      <c r="O2" s="34" t="s">
        <v>12</v>
      </c>
    </row>
    <row r="3" spans="1:15" x14ac:dyDescent="0.25">
      <c r="A3" s="31" t="s">
        <v>14</v>
      </c>
      <c r="B3" s="31" t="s">
        <v>15</v>
      </c>
      <c r="C3" s="32">
        <v>1412355.87</v>
      </c>
      <c r="D3" s="32">
        <v>1236466.02</v>
      </c>
      <c r="E3" s="32">
        <v>1358092.65</v>
      </c>
      <c r="F3" s="32">
        <v>1549919.9000000004</v>
      </c>
      <c r="G3" s="32">
        <v>1704365.1199999992</v>
      </c>
      <c r="H3" s="32">
        <v>1632501.0100000007</v>
      </c>
      <c r="I3" s="32">
        <v>1688921.3399999999</v>
      </c>
      <c r="J3" s="32">
        <v>1849765.8499999996</v>
      </c>
      <c r="K3" s="32">
        <v>1938424.8800000008</v>
      </c>
      <c r="L3" s="32">
        <v>1938174.8200000003</v>
      </c>
      <c r="M3" s="32">
        <v>1653861.0999999978</v>
      </c>
      <c r="N3" s="32">
        <v>1592589.9900000021</v>
      </c>
      <c r="O3" s="32">
        <f>SUM(C3:N3)</f>
        <v>19555438.550000001</v>
      </c>
    </row>
    <row r="4" spans="1:15" x14ac:dyDescent="0.25">
      <c r="A4" s="31" t="s">
        <v>16</v>
      </c>
      <c r="B4" s="31" t="s">
        <v>17</v>
      </c>
      <c r="C4" s="32">
        <v>2064062.29</v>
      </c>
      <c r="D4" s="32">
        <v>1929791.4100000001</v>
      </c>
      <c r="E4" s="32">
        <v>2124212.08</v>
      </c>
      <c r="F4" s="32">
        <v>1996057.4699999997</v>
      </c>
      <c r="G4" s="32">
        <v>2156011.4299999997</v>
      </c>
      <c r="H4" s="32">
        <v>1867140.7200000007</v>
      </c>
      <c r="I4" s="32">
        <v>2040110.8200000003</v>
      </c>
      <c r="J4" s="32">
        <v>1874656.2999999989</v>
      </c>
      <c r="K4" s="32">
        <v>1956000.9600000009</v>
      </c>
      <c r="L4" s="32">
        <v>2038511.4199999981</v>
      </c>
      <c r="M4" s="32">
        <v>2143086.41</v>
      </c>
      <c r="N4" s="32">
        <v>2177843.66</v>
      </c>
      <c r="O4" s="32">
        <f t="shared" ref="O4:O10" si="0">SUM(C4:N4)</f>
        <v>24367484.969999999</v>
      </c>
    </row>
    <row r="5" spans="1:15" x14ac:dyDescent="0.25">
      <c r="A5" s="31" t="s">
        <v>18</v>
      </c>
      <c r="B5" s="31" t="s">
        <v>19</v>
      </c>
      <c r="C5" s="32">
        <v>949987.27</v>
      </c>
      <c r="D5" s="32">
        <v>1058313.75</v>
      </c>
      <c r="E5" s="32">
        <v>1040497.21</v>
      </c>
      <c r="F5" s="32">
        <v>975701.81</v>
      </c>
      <c r="G5" s="32">
        <v>650747.49000000022</v>
      </c>
      <c r="H5" s="32">
        <v>654419.84999999963</v>
      </c>
      <c r="I5" s="32">
        <v>708609.25</v>
      </c>
      <c r="J5" s="32">
        <v>755648.98000000045</v>
      </c>
      <c r="K5" s="32">
        <v>774031.05999999959</v>
      </c>
      <c r="L5" s="32">
        <v>706265.54999999981</v>
      </c>
      <c r="M5" s="32">
        <v>665436.88999999966</v>
      </c>
      <c r="N5" s="32">
        <v>679892.20000000112</v>
      </c>
      <c r="O5" s="32">
        <f t="shared" si="0"/>
        <v>9619551.3100000005</v>
      </c>
    </row>
    <row r="6" spans="1:15" x14ac:dyDescent="0.25">
      <c r="A6" s="31" t="s">
        <v>20</v>
      </c>
      <c r="B6" s="31" t="s">
        <v>21</v>
      </c>
      <c r="C6" s="32">
        <v>996250.49</v>
      </c>
      <c r="D6" s="32">
        <v>1030958.06</v>
      </c>
      <c r="E6" s="32">
        <v>955953.1399999999</v>
      </c>
      <c r="F6" s="32">
        <v>909927.70000000019</v>
      </c>
      <c r="G6" s="32">
        <v>660552.2799999998</v>
      </c>
      <c r="H6" s="32">
        <v>635312.62000000011</v>
      </c>
      <c r="I6" s="32">
        <v>711175.24000000022</v>
      </c>
      <c r="J6" s="32">
        <v>729890.41999999993</v>
      </c>
      <c r="K6" s="32">
        <v>726260.76999999955</v>
      </c>
      <c r="L6" s="32">
        <v>728979.81000000052</v>
      </c>
      <c r="M6" s="32">
        <v>660998.49999999907</v>
      </c>
      <c r="N6" s="32">
        <v>673617.20000000112</v>
      </c>
      <c r="O6" s="32">
        <f t="shared" si="0"/>
        <v>9419876.2300000004</v>
      </c>
    </row>
    <row r="7" spans="1:15" x14ac:dyDescent="0.25">
      <c r="A7" s="31" t="s">
        <v>22</v>
      </c>
      <c r="B7" s="31" t="s">
        <v>23</v>
      </c>
      <c r="C7" s="32">
        <v>230853.81</v>
      </c>
      <c r="D7" s="32">
        <v>142632.15000000002</v>
      </c>
      <c r="E7" s="32">
        <v>146614.15999999997</v>
      </c>
      <c r="F7" s="32">
        <v>173098.96999999997</v>
      </c>
      <c r="G7" s="32">
        <v>274047.27</v>
      </c>
      <c r="H7" s="32">
        <v>128444.14000000001</v>
      </c>
      <c r="I7" s="32">
        <v>220461.99</v>
      </c>
      <c r="J7" s="32">
        <v>110974.75</v>
      </c>
      <c r="K7" s="32">
        <v>179917.87000000011</v>
      </c>
      <c r="L7" s="32">
        <v>241295.92999999993</v>
      </c>
      <c r="M7" s="32">
        <v>160647.24</v>
      </c>
      <c r="N7" s="32">
        <v>169838.80999999982</v>
      </c>
      <c r="O7" s="32">
        <f t="shared" si="0"/>
        <v>2178827.09</v>
      </c>
    </row>
    <row r="8" spans="1:15" x14ac:dyDescent="0.25">
      <c r="A8" s="31" t="s">
        <v>24</v>
      </c>
      <c r="B8" s="31" t="s">
        <v>25</v>
      </c>
      <c r="C8" s="32">
        <v>1760007.46</v>
      </c>
      <c r="D8" s="32">
        <v>1878436.15</v>
      </c>
      <c r="E8" s="32">
        <v>1903795.6999999997</v>
      </c>
      <c r="F8" s="32">
        <v>1847504.5300000003</v>
      </c>
      <c r="G8" s="32">
        <v>1888980.4800000004</v>
      </c>
      <c r="H8" s="32">
        <v>1890913.629999999</v>
      </c>
      <c r="I8" s="32">
        <v>1987524.4800000004</v>
      </c>
      <c r="J8" s="32">
        <v>2049771.7800000012</v>
      </c>
      <c r="K8" s="32">
        <v>1881054.5899999999</v>
      </c>
      <c r="L8" s="32">
        <v>2088170.1799999997</v>
      </c>
      <c r="M8" s="32">
        <v>1893456.3399999999</v>
      </c>
      <c r="N8" s="32">
        <v>2044321.370000001</v>
      </c>
      <c r="O8" s="32">
        <f t="shared" si="0"/>
        <v>23113936.690000001</v>
      </c>
    </row>
    <row r="9" spans="1:15" x14ac:dyDescent="0.25">
      <c r="A9" s="31" t="s">
        <v>26</v>
      </c>
      <c r="B9" s="31" t="s">
        <v>27</v>
      </c>
      <c r="C9" s="32">
        <v>1120115.26</v>
      </c>
      <c r="D9" s="32">
        <v>954102.3</v>
      </c>
      <c r="E9" s="32">
        <v>1130128.75</v>
      </c>
      <c r="F9" s="32">
        <v>874744.48999999976</v>
      </c>
      <c r="G9" s="32">
        <v>1061749.3799999999</v>
      </c>
      <c r="H9" s="32">
        <v>1008294.79</v>
      </c>
      <c r="I9" s="32">
        <v>997160.24000000022</v>
      </c>
      <c r="J9" s="32">
        <v>995098.74000000022</v>
      </c>
      <c r="K9" s="32">
        <v>1091161.9099999992</v>
      </c>
      <c r="L9" s="32">
        <v>956121.15000000037</v>
      </c>
      <c r="M9" s="32">
        <v>883688.91000000015</v>
      </c>
      <c r="N9" s="32">
        <v>1371596.75</v>
      </c>
      <c r="O9" s="32">
        <f t="shared" si="0"/>
        <v>12443962.67</v>
      </c>
    </row>
    <row r="10" spans="1:15" x14ac:dyDescent="0.25">
      <c r="A10" s="31" t="s">
        <v>28</v>
      </c>
      <c r="B10" s="31" t="s">
        <v>29</v>
      </c>
      <c r="C10" s="32">
        <v>-18477.400000000001</v>
      </c>
      <c r="D10" s="32">
        <v>-115878.15</v>
      </c>
      <c r="E10" s="32">
        <v>-17637.010000000009</v>
      </c>
      <c r="F10" s="32">
        <v>-16454.399999999994</v>
      </c>
      <c r="G10" s="32">
        <v>-19281.100000000006</v>
      </c>
      <c r="H10" s="32">
        <v>-15717.910000000003</v>
      </c>
      <c r="I10" s="32">
        <v>-28565.130000000005</v>
      </c>
      <c r="J10" s="32">
        <v>-26152.660000000003</v>
      </c>
      <c r="K10" s="32">
        <v>-14033.669999999984</v>
      </c>
      <c r="L10" s="32">
        <v>-18999.559999999998</v>
      </c>
      <c r="M10" s="32">
        <v>-27343.410000000033</v>
      </c>
      <c r="N10" s="32">
        <v>-16496.639999999956</v>
      </c>
      <c r="O10" s="32">
        <f t="shared" si="0"/>
        <v>-335037.03999999998</v>
      </c>
    </row>
    <row r="11" spans="1:15" x14ac:dyDescent="0.25">
      <c r="A11" s="213" t="s">
        <v>12</v>
      </c>
      <c r="B11" s="213"/>
      <c r="C11" s="36">
        <f>SUM(C3:C10)</f>
        <v>8515155.0499999989</v>
      </c>
      <c r="D11" s="36">
        <f t="shared" ref="D11:N11" si="1">SUM(D3:D10)</f>
        <v>8114821.6900000004</v>
      </c>
      <c r="E11" s="36">
        <f t="shared" si="1"/>
        <v>8641656.6799999997</v>
      </c>
      <c r="F11" s="36">
        <f t="shared" si="1"/>
        <v>8310500.4699999988</v>
      </c>
      <c r="G11" s="36">
        <f t="shared" si="1"/>
        <v>8377172.3499999996</v>
      </c>
      <c r="H11" s="36">
        <f t="shared" si="1"/>
        <v>7801308.8499999996</v>
      </c>
      <c r="I11" s="36">
        <f t="shared" si="1"/>
        <v>8325398.2300000014</v>
      </c>
      <c r="J11" s="36">
        <f t="shared" si="1"/>
        <v>8339654.1600000001</v>
      </c>
      <c r="K11" s="36">
        <f t="shared" si="1"/>
        <v>8532818.3699999992</v>
      </c>
      <c r="L11" s="36">
        <f t="shared" si="1"/>
        <v>8678519.2999999989</v>
      </c>
      <c r="M11" s="36">
        <f t="shared" si="1"/>
        <v>8033831.9799999967</v>
      </c>
      <c r="N11" s="36">
        <f t="shared" si="1"/>
        <v>8693203.3400000036</v>
      </c>
      <c r="O11" s="36">
        <f>SUM(O3:O10)</f>
        <v>100364040.47</v>
      </c>
    </row>
    <row r="12" spans="1:15" x14ac:dyDescent="0.25">
      <c r="O12" s="1"/>
    </row>
    <row r="13" spans="1:15" x14ac:dyDescent="0.25">
      <c r="A13" s="211" t="s">
        <v>30</v>
      </c>
      <c r="B13" s="212"/>
      <c r="C13" s="33">
        <v>42736</v>
      </c>
      <c r="D13" s="33">
        <v>42767</v>
      </c>
      <c r="E13" s="33">
        <v>42795</v>
      </c>
      <c r="F13" s="33">
        <v>42826</v>
      </c>
      <c r="G13" s="33">
        <v>42856</v>
      </c>
      <c r="H13" s="33">
        <v>42887</v>
      </c>
      <c r="I13" s="33">
        <v>42917</v>
      </c>
      <c r="J13" s="33">
        <v>42948</v>
      </c>
      <c r="K13" s="33">
        <v>42979</v>
      </c>
      <c r="L13" s="33">
        <v>43009</v>
      </c>
      <c r="M13" s="33">
        <v>43040</v>
      </c>
      <c r="N13" s="33">
        <v>43070</v>
      </c>
      <c r="O13" s="34" t="s">
        <v>12</v>
      </c>
    </row>
    <row r="14" spans="1:15" x14ac:dyDescent="0.25">
      <c r="A14" s="31" t="s">
        <v>31</v>
      </c>
      <c r="B14" s="31" t="s">
        <v>15</v>
      </c>
      <c r="C14" s="32">
        <v>1243048.44</v>
      </c>
      <c r="D14" s="32">
        <v>936933.60999999987</v>
      </c>
      <c r="E14" s="32">
        <v>1193235.8700000001</v>
      </c>
      <c r="F14" s="32">
        <v>996907.25</v>
      </c>
      <c r="G14" s="32">
        <v>1352311.5200000005</v>
      </c>
      <c r="H14" s="32">
        <v>1337580.3099999996</v>
      </c>
      <c r="I14" s="32">
        <v>935148.21999999974</v>
      </c>
      <c r="J14" s="32">
        <v>1172295.9900000012</v>
      </c>
      <c r="K14" s="32">
        <v>1979259.4699999988</v>
      </c>
      <c r="L14" s="32">
        <v>1772566.2699999996</v>
      </c>
      <c r="M14" s="32">
        <v>1288454.8500000015</v>
      </c>
      <c r="N14" s="32">
        <v>1482725.2299999986</v>
      </c>
      <c r="O14" s="32">
        <f t="shared" ref="O14:O19" si="2">SUM(C14:N14)</f>
        <v>15690467.029999999</v>
      </c>
    </row>
    <row r="15" spans="1:15" x14ac:dyDescent="0.25">
      <c r="A15" s="31" t="s">
        <v>32</v>
      </c>
      <c r="B15" s="31" t="s">
        <v>33</v>
      </c>
      <c r="C15" s="32">
        <v>1010450.85</v>
      </c>
      <c r="D15" s="32">
        <v>913073.50000000012</v>
      </c>
      <c r="E15" s="32">
        <v>1017874.3999999999</v>
      </c>
      <c r="F15" s="32">
        <v>955583.91999999993</v>
      </c>
      <c r="G15" s="32">
        <v>1031596.0300000003</v>
      </c>
      <c r="H15" s="32">
        <v>897339.12999999989</v>
      </c>
      <c r="I15" s="32">
        <v>981515.54</v>
      </c>
      <c r="J15" s="32">
        <v>897822.20000000019</v>
      </c>
      <c r="K15" s="32">
        <v>950945.50999999978</v>
      </c>
      <c r="L15" s="32">
        <v>994813.93999999948</v>
      </c>
      <c r="M15" s="32">
        <v>1044511.0999999996</v>
      </c>
      <c r="N15" s="32">
        <v>1053783.2700000014</v>
      </c>
      <c r="O15" s="32">
        <f t="shared" si="2"/>
        <v>11749309.390000001</v>
      </c>
    </row>
    <row r="16" spans="1:15" x14ac:dyDescent="0.25">
      <c r="A16" s="31" t="s">
        <v>34</v>
      </c>
      <c r="B16" s="31" t="s">
        <v>35</v>
      </c>
      <c r="C16" s="32">
        <v>7317.85</v>
      </c>
      <c r="D16" s="32">
        <v>5094.8500000000004</v>
      </c>
      <c r="E16" s="32">
        <v>3834.83</v>
      </c>
      <c r="F16" s="32">
        <v>8273.7800000000007</v>
      </c>
      <c r="G16" s="32">
        <v>6825.1399999999994</v>
      </c>
      <c r="H16" s="32">
        <v>6270.7999999999993</v>
      </c>
      <c r="I16" s="32">
        <v>4886.0500000000029</v>
      </c>
      <c r="J16" s="32">
        <v>5320.1699999999983</v>
      </c>
      <c r="K16" s="32">
        <v>4349.6999999999971</v>
      </c>
      <c r="L16" s="32">
        <v>6068.8300000000017</v>
      </c>
      <c r="M16" s="32">
        <v>6718.7900000000009</v>
      </c>
      <c r="N16" s="32">
        <v>3999.8299999999945</v>
      </c>
      <c r="O16" s="32">
        <f t="shared" si="2"/>
        <v>68960.62</v>
      </c>
    </row>
    <row r="17" spans="1:15" x14ac:dyDescent="0.25">
      <c r="A17" s="31" t="s">
        <v>36</v>
      </c>
      <c r="B17" s="31" t="s">
        <v>23</v>
      </c>
      <c r="C17" s="32">
        <v>-198914.35</v>
      </c>
      <c r="D17" s="32">
        <v>16935.339999999997</v>
      </c>
      <c r="E17" s="32">
        <v>119186.01000000001</v>
      </c>
      <c r="F17" s="32">
        <v>227653.38</v>
      </c>
      <c r="G17" s="32">
        <v>161307.06</v>
      </c>
      <c r="H17" s="32">
        <v>11611.359999999986</v>
      </c>
      <c r="I17" s="32">
        <v>183411.73000000004</v>
      </c>
      <c r="J17" s="32">
        <v>166056.80999999994</v>
      </c>
      <c r="K17" s="32">
        <v>150742.40000000002</v>
      </c>
      <c r="L17" s="32">
        <v>240548.72999999998</v>
      </c>
      <c r="M17" s="32">
        <v>152369.91999999993</v>
      </c>
      <c r="N17" s="32">
        <v>415157.03</v>
      </c>
      <c r="O17" s="32">
        <f t="shared" si="2"/>
        <v>1646065.42</v>
      </c>
    </row>
    <row r="18" spans="1:15" x14ac:dyDescent="0.25">
      <c r="A18" s="31" t="s">
        <v>37</v>
      </c>
      <c r="B18" s="31" t="s">
        <v>27</v>
      </c>
      <c r="C18" s="32">
        <v>167644.97</v>
      </c>
      <c r="D18" s="32">
        <v>182128.83</v>
      </c>
      <c r="E18" s="32">
        <v>189730.26000000007</v>
      </c>
      <c r="F18" s="32">
        <v>188586.19999999995</v>
      </c>
      <c r="G18" s="32">
        <v>201105.64</v>
      </c>
      <c r="H18" s="32">
        <v>158621.53999999992</v>
      </c>
      <c r="I18" s="32">
        <v>233356.85000000009</v>
      </c>
      <c r="J18" s="32">
        <v>134694.77000000002</v>
      </c>
      <c r="K18" s="32">
        <v>174563.94999999995</v>
      </c>
      <c r="L18" s="32">
        <v>204586.89999999991</v>
      </c>
      <c r="M18" s="32">
        <v>180047.33000000007</v>
      </c>
      <c r="N18" s="32">
        <v>164909.48000000021</v>
      </c>
      <c r="O18" s="32">
        <f t="shared" si="2"/>
        <v>2179976.7200000002</v>
      </c>
    </row>
    <row r="19" spans="1:15" x14ac:dyDescent="0.25">
      <c r="A19" s="31" t="s">
        <v>38</v>
      </c>
      <c r="B19" s="31" t="s">
        <v>39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2"/>
        <v>0</v>
      </c>
    </row>
    <row r="20" spans="1:15" x14ac:dyDescent="0.25">
      <c r="A20" s="213" t="s">
        <v>12</v>
      </c>
      <c r="B20" s="213"/>
      <c r="C20" s="36">
        <f>SUM(C14:C19)</f>
        <v>2229547.7600000002</v>
      </c>
      <c r="D20" s="36">
        <f t="shared" ref="D20:N20" si="3">SUM(D14:D19)</f>
        <v>2054166.1300000001</v>
      </c>
      <c r="E20" s="36">
        <f t="shared" si="3"/>
        <v>2523861.3700000006</v>
      </c>
      <c r="F20" s="36">
        <f t="shared" si="3"/>
        <v>2377004.5300000003</v>
      </c>
      <c r="G20" s="36">
        <f t="shared" si="3"/>
        <v>2753145.3900000011</v>
      </c>
      <c r="H20" s="36">
        <f t="shared" si="3"/>
        <v>2411423.1399999992</v>
      </c>
      <c r="I20" s="36">
        <f t="shared" si="3"/>
        <v>2338318.39</v>
      </c>
      <c r="J20" s="36">
        <f t="shared" si="3"/>
        <v>2376189.9400000013</v>
      </c>
      <c r="K20" s="36">
        <f t="shared" si="3"/>
        <v>3259861.0299999984</v>
      </c>
      <c r="L20" s="36">
        <f t="shared" si="3"/>
        <v>3218584.669999999</v>
      </c>
      <c r="M20" s="36">
        <f t="shared" si="3"/>
        <v>2672101.9900000012</v>
      </c>
      <c r="N20" s="36">
        <f t="shared" si="3"/>
        <v>3120574.8400000008</v>
      </c>
      <c r="O20" s="36">
        <f>SUM(O14:O19)</f>
        <v>31334779.18</v>
      </c>
    </row>
    <row r="21" spans="1:15" x14ac:dyDescent="0.25">
      <c r="O21" s="1"/>
    </row>
    <row r="22" spans="1:15" x14ac:dyDescent="0.25">
      <c r="A22" s="211" t="s">
        <v>40</v>
      </c>
      <c r="B22" s="212"/>
      <c r="C22" s="33">
        <v>42736</v>
      </c>
      <c r="D22" s="33">
        <v>42767</v>
      </c>
      <c r="E22" s="33">
        <v>42795</v>
      </c>
      <c r="F22" s="33">
        <v>42826</v>
      </c>
      <c r="G22" s="33">
        <v>42856</v>
      </c>
      <c r="H22" s="33">
        <v>42887</v>
      </c>
      <c r="I22" s="33">
        <v>42917</v>
      </c>
      <c r="J22" s="33">
        <v>42948</v>
      </c>
      <c r="K22" s="33">
        <v>42979</v>
      </c>
      <c r="L22" s="33">
        <v>43009</v>
      </c>
      <c r="M22" s="33">
        <v>43040</v>
      </c>
      <c r="N22" s="33">
        <v>43070</v>
      </c>
      <c r="O22" s="34" t="s">
        <v>12</v>
      </c>
    </row>
    <row r="23" spans="1:15" x14ac:dyDescent="0.25">
      <c r="A23" s="31" t="s">
        <v>41</v>
      </c>
      <c r="B23" s="31" t="s">
        <v>42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>SUM(C23:N23)</f>
        <v>0</v>
      </c>
    </row>
    <row r="24" spans="1:15" x14ac:dyDescent="0.25">
      <c r="A24" s="31" t="s">
        <v>43</v>
      </c>
      <c r="B24" s="31" t="s">
        <v>44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120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ref="O24:O32" si="4">SUM(C24:N24)</f>
        <v>120</v>
      </c>
    </row>
    <row r="25" spans="1:15" x14ac:dyDescent="0.25">
      <c r="A25" s="31" t="s">
        <v>45</v>
      </c>
      <c r="B25" s="31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4"/>
        <v>0</v>
      </c>
    </row>
    <row r="26" spans="1:15" x14ac:dyDescent="0.25">
      <c r="A26" s="31" t="s">
        <v>47</v>
      </c>
      <c r="B26" s="31" t="s">
        <v>48</v>
      </c>
      <c r="C26" s="32">
        <v>761040.9</v>
      </c>
      <c r="D26" s="32">
        <v>1077606</v>
      </c>
      <c r="E26" s="32">
        <v>1083943.5</v>
      </c>
      <c r="F26" s="32">
        <v>1228104</v>
      </c>
      <c r="G26" s="32">
        <v>1116231.0000000005</v>
      </c>
      <c r="H26" s="32">
        <v>1183728.7199999997</v>
      </c>
      <c r="I26" s="32">
        <v>1270605</v>
      </c>
      <c r="J26" s="32">
        <v>1261067.9999999991</v>
      </c>
      <c r="K26" s="32">
        <v>1302799.5</v>
      </c>
      <c r="L26" s="32">
        <v>1282801.5</v>
      </c>
      <c r="M26" s="32">
        <v>1262998.5</v>
      </c>
      <c r="N26" s="32">
        <v>1302700.5</v>
      </c>
      <c r="O26" s="32">
        <f t="shared" si="4"/>
        <v>14133627.119999999</v>
      </c>
    </row>
    <row r="27" spans="1:15" x14ac:dyDescent="0.25">
      <c r="A27" s="31" t="s">
        <v>49</v>
      </c>
      <c r="B27" s="31" t="s">
        <v>50</v>
      </c>
      <c r="C27" s="32">
        <v>2050.5300000000002</v>
      </c>
      <c r="D27" s="32">
        <v>2803.3799999999997</v>
      </c>
      <c r="E27" s="32">
        <v>5233.8899999999994</v>
      </c>
      <c r="F27" s="32">
        <v>3143.26</v>
      </c>
      <c r="G27" s="32">
        <v>3304.7199999999993</v>
      </c>
      <c r="H27" s="32">
        <v>4231.8000000000029</v>
      </c>
      <c r="I27" s="32">
        <v>3240.1099999999969</v>
      </c>
      <c r="J27" s="32">
        <v>4606.9000000000015</v>
      </c>
      <c r="K27" s="32">
        <v>2712.4700000000012</v>
      </c>
      <c r="L27" s="32">
        <v>3413.5799999999981</v>
      </c>
      <c r="M27" s="32">
        <v>2677.489999999998</v>
      </c>
      <c r="N27" s="32">
        <v>2702.0300000000061</v>
      </c>
      <c r="O27" s="32">
        <f t="shared" si="4"/>
        <v>40120.160000000003</v>
      </c>
    </row>
    <row r="28" spans="1:15" x14ac:dyDescent="0.25">
      <c r="A28" s="31" t="s">
        <v>51</v>
      </c>
      <c r="B28" s="31" t="s">
        <v>52</v>
      </c>
      <c r="C28" s="32">
        <v>175</v>
      </c>
      <c r="D28" s="32">
        <v>315</v>
      </c>
      <c r="E28" s="32">
        <v>75</v>
      </c>
      <c r="F28" s="32">
        <v>55</v>
      </c>
      <c r="G28" s="32">
        <v>0</v>
      </c>
      <c r="H28" s="32">
        <v>0</v>
      </c>
      <c r="I28" s="32">
        <v>15</v>
      </c>
      <c r="J28" s="32">
        <v>15</v>
      </c>
      <c r="K28" s="32">
        <v>0</v>
      </c>
      <c r="L28" s="32">
        <v>0</v>
      </c>
      <c r="M28" s="32">
        <v>0</v>
      </c>
      <c r="N28" s="32">
        <v>0</v>
      </c>
      <c r="O28" s="32">
        <f t="shared" si="4"/>
        <v>650</v>
      </c>
    </row>
    <row r="29" spans="1:15" x14ac:dyDescent="0.25">
      <c r="A29" s="31" t="s">
        <v>53</v>
      </c>
      <c r="B29" s="31" t="s">
        <v>54</v>
      </c>
      <c r="C29" s="32">
        <v>0</v>
      </c>
      <c r="D29" s="32">
        <v>2000</v>
      </c>
      <c r="E29" s="32">
        <v>0</v>
      </c>
      <c r="F29" s="32">
        <v>0</v>
      </c>
      <c r="G29" s="32">
        <v>0</v>
      </c>
      <c r="H29" s="32">
        <v>12743.99</v>
      </c>
      <c r="I29" s="32">
        <v>25108.700000000004</v>
      </c>
      <c r="J29" s="32">
        <v>7880.07</v>
      </c>
      <c r="K29" s="32">
        <v>0</v>
      </c>
      <c r="L29" s="32">
        <v>6938.5</v>
      </c>
      <c r="M29" s="32">
        <v>17043.499999999993</v>
      </c>
      <c r="N29" s="32">
        <v>1646.0500000000029</v>
      </c>
      <c r="O29" s="32">
        <f t="shared" si="4"/>
        <v>73360.81</v>
      </c>
    </row>
    <row r="30" spans="1:15" x14ac:dyDescent="0.25">
      <c r="A30" s="31" t="s">
        <v>55</v>
      </c>
      <c r="B30" s="31" t="s">
        <v>56</v>
      </c>
      <c r="C30" s="32">
        <v>47200.29</v>
      </c>
      <c r="D30" s="32">
        <v>34589.32</v>
      </c>
      <c r="E30" s="32">
        <v>45353.45</v>
      </c>
      <c r="F30" s="32">
        <v>20449.28</v>
      </c>
      <c r="G30" s="32">
        <v>66664.300000000017</v>
      </c>
      <c r="H30" s="32">
        <v>49012.969999999972</v>
      </c>
      <c r="I30" s="32">
        <v>36917.609999999986</v>
      </c>
      <c r="J30" s="32">
        <v>49012.97000000003</v>
      </c>
      <c r="K30" s="32">
        <v>36917.609999999986</v>
      </c>
      <c r="L30" s="32">
        <v>49012.97000000003</v>
      </c>
      <c r="M30" s="32">
        <v>36917.609999999986</v>
      </c>
      <c r="N30" s="32">
        <v>43025.169999999984</v>
      </c>
      <c r="O30" s="32">
        <f t="shared" si="4"/>
        <v>515073.55</v>
      </c>
    </row>
    <row r="31" spans="1:15" x14ac:dyDescent="0.25">
      <c r="A31" s="31" t="s">
        <v>57</v>
      </c>
      <c r="B31" s="31" t="s">
        <v>58</v>
      </c>
      <c r="C31" s="32">
        <v>270833.33</v>
      </c>
      <c r="D31" s="32">
        <v>270833.33</v>
      </c>
      <c r="E31" s="32">
        <v>350000</v>
      </c>
      <c r="F31" s="32">
        <v>349999.99999999988</v>
      </c>
      <c r="G31" s="32">
        <v>350000</v>
      </c>
      <c r="H31" s="32">
        <v>350000</v>
      </c>
      <c r="I31" s="32">
        <v>350000.00000000023</v>
      </c>
      <c r="J31" s="32">
        <v>350000</v>
      </c>
      <c r="K31" s="32">
        <v>350000</v>
      </c>
      <c r="L31" s="32">
        <v>350000</v>
      </c>
      <c r="M31" s="32">
        <v>350000</v>
      </c>
      <c r="N31" s="32">
        <v>350000</v>
      </c>
      <c r="O31" s="32">
        <f t="shared" si="4"/>
        <v>4041666.66</v>
      </c>
    </row>
    <row r="32" spans="1:15" x14ac:dyDescent="0.25">
      <c r="A32" s="31" t="s">
        <v>59</v>
      </c>
      <c r="B32" s="31" t="s">
        <v>60</v>
      </c>
      <c r="C32" s="32">
        <v>1435.01</v>
      </c>
      <c r="D32" s="32">
        <v>4708.8</v>
      </c>
      <c r="E32" s="32">
        <v>4621.7399999999989</v>
      </c>
      <c r="F32" s="32">
        <v>12052.77</v>
      </c>
      <c r="G32" s="32">
        <v>224896.62</v>
      </c>
      <c r="H32" s="32">
        <v>22562.869999999995</v>
      </c>
      <c r="I32" s="32">
        <v>916695.76</v>
      </c>
      <c r="J32" s="32">
        <v>61078.909999999916</v>
      </c>
      <c r="K32" s="32">
        <v>8170.2099999999627</v>
      </c>
      <c r="L32" s="32">
        <v>4792.8000000000466</v>
      </c>
      <c r="M32" s="32">
        <v>40090.840000000084</v>
      </c>
      <c r="N32" s="32">
        <v>534787.90999999992</v>
      </c>
      <c r="O32" s="32">
        <f t="shared" si="4"/>
        <v>1835894.24</v>
      </c>
    </row>
    <row r="33" spans="1:15" x14ac:dyDescent="0.25">
      <c r="A33" s="213" t="s">
        <v>12</v>
      </c>
      <c r="B33" s="213"/>
      <c r="C33" s="36">
        <f>SUM(C23:C32)</f>
        <v>1082735.06</v>
      </c>
      <c r="D33" s="36">
        <f t="shared" ref="D33:N33" si="5">SUM(D23:D32)</f>
        <v>1392855.83</v>
      </c>
      <c r="E33" s="36">
        <f t="shared" si="5"/>
        <v>1489227.5799999998</v>
      </c>
      <c r="F33" s="36">
        <f t="shared" si="5"/>
        <v>1613804.31</v>
      </c>
      <c r="G33" s="36">
        <f t="shared" si="5"/>
        <v>1761096.6400000006</v>
      </c>
      <c r="H33" s="36">
        <f t="shared" si="5"/>
        <v>1622400.3499999996</v>
      </c>
      <c r="I33" s="36">
        <f t="shared" si="5"/>
        <v>2602582.1800000002</v>
      </c>
      <c r="J33" s="36">
        <f t="shared" si="5"/>
        <v>1733661.8499999989</v>
      </c>
      <c r="K33" s="36">
        <f t="shared" si="5"/>
        <v>1700599.79</v>
      </c>
      <c r="L33" s="36">
        <f t="shared" si="5"/>
        <v>1696959.35</v>
      </c>
      <c r="M33" s="36">
        <f t="shared" si="5"/>
        <v>1709727.9400000002</v>
      </c>
      <c r="N33" s="36">
        <f t="shared" si="5"/>
        <v>2234861.66</v>
      </c>
      <c r="O33" s="36">
        <f>SUM(O23:O32)</f>
        <v>20640512.539999999</v>
      </c>
    </row>
    <row r="34" spans="1:15" x14ac:dyDescent="0.25">
      <c r="O34" s="1"/>
    </row>
    <row r="35" spans="1:15" x14ac:dyDescent="0.25">
      <c r="A35" s="211" t="s">
        <v>61</v>
      </c>
      <c r="B35" s="212"/>
      <c r="C35" s="33">
        <v>42736</v>
      </c>
      <c r="D35" s="33">
        <v>42767</v>
      </c>
      <c r="E35" s="33">
        <v>42795</v>
      </c>
      <c r="F35" s="33">
        <v>42826</v>
      </c>
      <c r="G35" s="33">
        <v>42856</v>
      </c>
      <c r="H35" s="33">
        <v>42887</v>
      </c>
      <c r="I35" s="33">
        <v>42917</v>
      </c>
      <c r="J35" s="33">
        <v>42948</v>
      </c>
      <c r="K35" s="33">
        <v>42979</v>
      </c>
      <c r="L35" s="33">
        <v>43009</v>
      </c>
      <c r="M35" s="33">
        <v>43040</v>
      </c>
      <c r="N35" s="33">
        <v>43070</v>
      </c>
      <c r="O35" s="34" t="s">
        <v>12</v>
      </c>
    </row>
    <row r="36" spans="1:15" x14ac:dyDescent="0.25">
      <c r="A36" s="31" t="s">
        <v>62</v>
      </c>
      <c r="B36" s="31" t="s">
        <v>63</v>
      </c>
      <c r="C36" s="32">
        <v>26151.87</v>
      </c>
      <c r="D36" s="32">
        <v>2305961.1599999997</v>
      </c>
      <c r="E36" s="32">
        <v>781926.44000000041</v>
      </c>
      <c r="F36" s="32">
        <v>773284.50999999978</v>
      </c>
      <c r="G36" s="32">
        <v>1508780.65</v>
      </c>
      <c r="H36" s="32">
        <v>1312394.3399999999</v>
      </c>
      <c r="I36" s="32">
        <v>983788.27000000048</v>
      </c>
      <c r="J36" s="32">
        <v>1802004.459999999</v>
      </c>
      <c r="K36" s="32">
        <v>2949462.540000001</v>
      </c>
      <c r="L36" s="32">
        <v>1488080.0899999999</v>
      </c>
      <c r="M36" s="32">
        <v>4504824.2000000011</v>
      </c>
      <c r="N36" s="32">
        <v>2832060.5199999996</v>
      </c>
      <c r="O36" s="32">
        <f>SUM(C36:N36)</f>
        <v>21268719.050000001</v>
      </c>
    </row>
    <row r="37" spans="1:15" x14ac:dyDescent="0.25">
      <c r="A37" s="31" t="s">
        <v>64</v>
      </c>
      <c r="B37" s="31" t="s">
        <v>65</v>
      </c>
      <c r="C37" s="32">
        <v>0</v>
      </c>
      <c r="D37" s="32">
        <v>0</v>
      </c>
      <c r="E37" s="32">
        <v>0</v>
      </c>
      <c r="F37" s="32">
        <v>0</v>
      </c>
      <c r="G37" s="32">
        <v>7012.66</v>
      </c>
      <c r="H37" s="32">
        <v>269526.97000000003</v>
      </c>
      <c r="I37" s="32">
        <v>0</v>
      </c>
      <c r="J37" s="32">
        <v>111261.64000000001</v>
      </c>
      <c r="K37" s="32">
        <v>76761.389999999956</v>
      </c>
      <c r="L37" s="32">
        <v>0</v>
      </c>
      <c r="M37" s="32">
        <v>52286.680000000051</v>
      </c>
      <c r="N37" s="32">
        <v>112208.75999999995</v>
      </c>
      <c r="O37" s="32">
        <f t="shared" ref="O37:O39" si="6">SUM(C37:N37)</f>
        <v>629058.1</v>
      </c>
    </row>
    <row r="38" spans="1:15" x14ac:dyDescent="0.25">
      <c r="A38" s="31" t="s">
        <v>66</v>
      </c>
      <c r="B38" s="31" t="s">
        <v>67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6"/>
        <v>0</v>
      </c>
    </row>
    <row r="39" spans="1:15" x14ac:dyDescent="0.25">
      <c r="A39" s="31" t="s">
        <v>68</v>
      </c>
      <c r="B39" s="31" t="s">
        <v>69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6"/>
        <v>0</v>
      </c>
    </row>
    <row r="40" spans="1:15" x14ac:dyDescent="0.25">
      <c r="A40" s="31" t="s">
        <v>70</v>
      </c>
      <c r="B40" s="31" t="s">
        <v>71</v>
      </c>
      <c r="C40" s="32">
        <v>0</v>
      </c>
      <c r="D40" s="32">
        <v>0</v>
      </c>
      <c r="E40" s="32">
        <v>0</v>
      </c>
      <c r="F40" s="32">
        <v>9079.31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>SUM(C40:N40)</f>
        <v>9079.31</v>
      </c>
    </row>
    <row r="41" spans="1:15" x14ac:dyDescent="0.25">
      <c r="A41" s="213" t="s">
        <v>12</v>
      </c>
      <c r="B41" s="213"/>
      <c r="C41" s="36">
        <f>SUM(C36:C40)</f>
        <v>26151.87</v>
      </c>
      <c r="D41" s="36">
        <f>SUM(D36:D40)</f>
        <v>2305961.1599999997</v>
      </c>
      <c r="E41" s="36">
        <f>SUM(E36:E40)</f>
        <v>781926.44000000041</v>
      </c>
      <c r="F41" s="36">
        <f>SUM(F36:F40)</f>
        <v>782363.81999999983</v>
      </c>
      <c r="G41" s="36">
        <f t="shared" ref="G41:N41" si="7">SUM(G36:G40)</f>
        <v>1515793.3099999998</v>
      </c>
      <c r="H41" s="36">
        <f t="shared" si="7"/>
        <v>1581921.3099999998</v>
      </c>
      <c r="I41" s="36">
        <f t="shared" si="7"/>
        <v>983788.27000000048</v>
      </c>
      <c r="J41" s="36">
        <f t="shared" si="7"/>
        <v>1913266.0999999992</v>
      </c>
      <c r="K41" s="36">
        <f t="shared" si="7"/>
        <v>3026223.9300000011</v>
      </c>
      <c r="L41" s="36">
        <f t="shared" si="7"/>
        <v>1488080.0899999999</v>
      </c>
      <c r="M41" s="36">
        <f t="shared" si="7"/>
        <v>4557110.8800000008</v>
      </c>
      <c r="N41" s="36">
        <f t="shared" si="7"/>
        <v>2944269.2799999993</v>
      </c>
      <c r="O41" s="36">
        <f>SUM(O36:O40)</f>
        <v>21906856.460000001</v>
      </c>
    </row>
    <row r="42" spans="1:15" x14ac:dyDescent="0.25">
      <c r="A42" s="1" t="s">
        <v>250</v>
      </c>
    </row>
  </sheetData>
  <mergeCells count="8">
    <mergeCell ref="A35:B35"/>
    <mergeCell ref="A41:B41"/>
    <mergeCell ref="A2:B2"/>
    <mergeCell ref="A11:B11"/>
    <mergeCell ref="A13:B13"/>
    <mergeCell ref="A20:B20"/>
    <mergeCell ref="A22:B22"/>
    <mergeCell ref="A33:B3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workbookViewId="0">
      <selection activeCell="A42" sqref="A42"/>
    </sheetView>
  </sheetViews>
  <sheetFormatPr defaultRowHeight="15" x14ac:dyDescent="0.25"/>
  <cols>
    <col min="1" max="1" width="8" style="2" bestFit="1" customWidth="1"/>
    <col min="2" max="2" width="45" style="2" bestFit="1" customWidth="1"/>
    <col min="3" max="14" width="13.28515625" style="2" bestFit="1" customWidth="1"/>
    <col min="15" max="15" width="14.28515625" style="2" bestFit="1" customWidth="1"/>
    <col min="16" max="16384" width="9.140625" style="2"/>
  </cols>
  <sheetData>
    <row r="1" spans="1:15" x14ac:dyDescent="0.25">
      <c r="A1" s="1" t="s">
        <v>111</v>
      </c>
    </row>
    <row r="2" spans="1:15" x14ac:dyDescent="0.25">
      <c r="A2" s="211" t="s">
        <v>13</v>
      </c>
      <c r="B2" s="212"/>
      <c r="C2" s="33">
        <v>43101</v>
      </c>
      <c r="D2" s="33">
        <v>43132</v>
      </c>
      <c r="E2" s="33">
        <v>43160</v>
      </c>
      <c r="F2" s="33">
        <v>43191</v>
      </c>
      <c r="G2" s="33">
        <v>43221</v>
      </c>
      <c r="H2" s="33">
        <v>43252</v>
      </c>
      <c r="I2" s="33">
        <v>43282</v>
      </c>
      <c r="J2" s="33">
        <v>43313</v>
      </c>
      <c r="K2" s="33">
        <v>43344</v>
      </c>
      <c r="L2" s="33">
        <v>43374</v>
      </c>
      <c r="M2" s="33">
        <v>43405</v>
      </c>
      <c r="N2" s="33">
        <v>43435</v>
      </c>
      <c r="O2" s="34" t="s">
        <v>12</v>
      </c>
    </row>
    <row r="3" spans="1:15" x14ac:dyDescent="0.25">
      <c r="A3" s="31" t="s">
        <v>14</v>
      </c>
      <c r="B3" s="31" t="s">
        <v>15</v>
      </c>
      <c r="C3" s="32">
        <v>1523823.31</v>
      </c>
      <c r="D3" s="32">
        <v>1576285.6800000002</v>
      </c>
      <c r="E3" s="32">
        <v>1655783.7699999996</v>
      </c>
      <c r="F3" s="32">
        <v>1653608.7999999998</v>
      </c>
      <c r="G3" s="32">
        <v>1780061.6100000003</v>
      </c>
      <c r="H3" s="32">
        <v>1686048.0700000003</v>
      </c>
      <c r="I3" s="32">
        <v>1660206.17</v>
      </c>
      <c r="J3" s="32">
        <v>1856876.4700000007</v>
      </c>
      <c r="K3" s="32">
        <v>1826383.7899999991</v>
      </c>
      <c r="L3" s="32">
        <v>1797537.1800000016</v>
      </c>
      <c r="M3" s="32">
        <v>1526591.3999999985</v>
      </c>
      <c r="N3" s="32">
        <v>1609167.4100000001</v>
      </c>
      <c r="O3" s="32">
        <f t="shared" ref="O3:O10" si="0">SUM(C3:N3)</f>
        <v>20152373.66</v>
      </c>
    </row>
    <row r="4" spans="1:15" x14ac:dyDescent="0.25">
      <c r="A4" s="31" t="s">
        <v>16</v>
      </c>
      <c r="B4" s="31" t="s">
        <v>17</v>
      </c>
      <c r="C4" s="32">
        <v>2094977.25</v>
      </c>
      <c r="D4" s="32">
        <v>1947111.5699999998</v>
      </c>
      <c r="E4" s="32">
        <v>2224473.1300000004</v>
      </c>
      <c r="F4" s="32">
        <v>2068495.63</v>
      </c>
      <c r="G4" s="32">
        <v>2124465.08</v>
      </c>
      <c r="H4" s="32">
        <v>2170268.09</v>
      </c>
      <c r="I4" s="32">
        <v>2112032.66</v>
      </c>
      <c r="J4" s="32">
        <v>2123970.5799999982</v>
      </c>
      <c r="K4" s="32">
        <v>1977905.9200000018</v>
      </c>
      <c r="L4" s="32">
        <v>2048225.5100000016</v>
      </c>
      <c r="M4" s="32">
        <v>1964601.049999997</v>
      </c>
      <c r="N4" s="32">
        <v>2131610.7300000004</v>
      </c>
      <c r="O4" s="32">
        <f t="shared" si="0"/>
        <v>24988137.199999999</v>
      </c>
    </row>
    <row r="5" spans="1:15" x14ac:dyDescent="0.25">
      <c r="A5" s="31" t="s">
        <v>18</v>
      </c>
      <c r="B5" s="31" t="s">
        <v>19</v>
      </c>
      <c r="C5" s="32">
        <v>642966.81999999995</v>
      </c>
      <c r="D5" s="32">
        <v>708697.93</v>
      </c>
      <c r="E5" s="32">
        <v>668251.19999999995</v>
      </c>
      <c r="F5" s="32">
        <v>659569.86999999988</v>
      </c>
      <c r="G5" s="32">
        <v>761601.91000000015</v>
      </c>
      <c r="H5" s="32">
        <v>711470.85000000009</v>
      </c>
      <c r="I5" s="32">
        <v>715847.79</v>
      </c>
      <c r="J5" s="32">
        <v>808136.11000000034</v>
      </c>
      <c r="K5" s="32">
        <v>822407.64999999944</v>
      </c>
      <c r="L5" s="32">
        <v>761712.6799999997</v>
      </c>
      <c r="M5" s="32">
        <v>712267.47000000067</v>
      </c>
      <c r="N5" s="32">
        <v>776968.36000000034</v>
      </c>
      <c r="O5" s="32">
        <f t="shared" si="0"/>
        <v>8749898.6400000006</v>
      </c>
    </row>
    <row r="6" spans="1:15" x14ac:dyDescent="0.25">
      <c r="A6" s="31" t="s">
        <v>20</v>
      </c>
      <c r="B6" s="31" t="s">
        <v>21</v>
      </c>
      <c r="C6" s="32">
        <v>626890.35</v>
      </c>
      <c r="D6" s="32">
        <v>670176.27000000014</v>
      </c>
      <c r="E6" s="32">
        <v>655907.56999999983</v>
      </c>
      <c r="F6" s="32">
        <v>609702.46</v>
      </c>
      <c r="G6" s="32">
        <v>660713.25</v>
      </c>
      <c r="H6" s="32">
        <v>746731.96</v>
      </c>
      <c r="I6" s="32">
        <v>634006.39000000013</v>
      </c>
      <c r="J6" s="32">
        <v>604717.12000000011</v>
      </c>
      <c r="K6" s="32">
        <v>638672.3200000003</v>
      </c>
      <c r="L6" s="32">
        <v>593226.57999999914</v>
      </c>
      <c r="M6" s="32">
        <v>553489.11000000034</v>
      </c>
      <c r="N6" s="32">
        <v>621713.54</v>
      </c>
      <c r="O6" s="32">
        <f t="shared" si="0"/>
        <v>7615946.9199999999</v>
      </c>
    </row>
    <row r="7" spans="1:15" x14ac:dyDescent="0.25">
      <c r="A7" s="31" t="s">
        <v>22</v>
      </c>
      <c r="B7" s="31" t="s">
        <v>23</v>
      </c>
      <c r="C7" s="32">
        <v>131323.99</v>
      </c>
      <c r="D7" s="32">
        <v>86799.47</v>
      </c>
      <c r="E7" s="32">
        <v>145479.09</v>
      </c>
      <c r="F7" s="32">
        <v>128926.98000000004</v>
      </c>
      <c r="G7" s="32">
        <v>144968.49</v>
      </c>
      <c r="H7" s="32">
        <v>122407.31999999995</v>
      </c>
      <c r="I7" s="32">
        <v>145189.63</v>
      </c>
      <c r="J7" s="32">
        <v>213881.57000000007</v>
      </c>
      <c r="K7" s="32">
        <v>539032.68999999994</v>
      </c>
      <c r="L7" s="32">
        <v>200967.03000000003</v>
      </c>
      <c r="M7" s="32">
        <v>111890.28000000003</v>
      </c>
      <c r="N7" s="32">
        <v>177386.33999999985</v>
      </c>
      <c r="O7" s="32">
        <f t="shared" si="0"/>
        <v>2148252.88</v>
      </c>
    </row>
    <row r="8" spans="1:15" x14ac:dyDescent="0.25">
      <c r="A8" s="31" t="s">
        <v>24</v>
      </c>
      <c r="B8" s="31" t="s">
        <v>25</v>
      </c>
      <c r="C8" s="32">
        <v>1823289.02</v>
      </c>
      <c r="D8" s="32">
        <v>1912386.62</v>
      </c>
      <c r="E8" s="32">
        <v>1914696.27</v>
      </c>
      <c r="F8" s="32">
        <v>1933011.12</v>
      </c>
      <c r="G8" s="32">
        <v>2034548.2399999993</v>
      </c>
      <c r="H8" s="32">
        <v>1946915.120000001</v>
      </c>
      <c r="I8" s="32">
        <v>2147013.2599999998</v>
      </c>
      <c r="J8" s="32">
        <v>2090334.4900000002</v>
      </c>
      <c r="K8" s="32">
        <v>1970918.8299999982</v>
      </c>
      <c r="L8" s="32">
        <v>1991920.2300000004</v>
      </c>
      <c r="M8" s="32">
        <v>2055789.8500000015</v>
      </c>
      <c r="N8" s="32">
        <v>2132792.5700000003</v>
      </c>
      <c r="O8" s="32">
        <f t="shared" si="0"/>
        <v>23953615.620000001</v>
      </c>
    </row>
    <row r="9" spans="1:15" x14ac:dyDescent="0.25">
      <c r="A9" s="31" t="s">
        <v>26</v>
      </c>
      <c r="B9" s="31" t="s">
        <v>27</v>
      </c>
      <c r="C9" s="32">
        <v>855407.28</v>
      </c>
      <c r="D9" s="32">
        <v>1017419.94</v>
      </c>
      <c r="E9" s="32">
        <v>988964.36999999988</v>
      </c>
      <c r="F9" s="32">
        <v>1125064.5900000003</v>
      </c>
      <c r="G9" s="32">
        <v>1021449.5299999998</v>
      </c>
      <c r="H9" s="32">
        <v>1023430.6200000001</v>
      </c>
      <c r="I9" s="32">
        <v>1029950.9500000002</v>
      </c>
      <c r="J9" s="32">
        <v>1124570.4799999995</v>
      </c>
      <c r="K9" s="32">
        <v>1087889.3399999999</v>
      </c>
      <c r="L9" s="32">
        <v>1148415.6899999995</v>
      </c>
      <c r="M9" s="32">
        <v>986142.06000000052</v>
      </c>
      <c r="N9" s="32">
        <v>1002134.3499999996</v>
      </c>
      <c r="O9" s="32">
        <f t="shared" si="0"/>
        <v>12410839.199999999</v>
      </c>
    </row>
    <row r="10" spans="1:15" x14ac:dyDescent="0.25">
      <c r="A10" s="31" t="s">
        <v>28</v>
      </c>
      <c r="B10" s="31" t="s">
        <v>29</v>
      </c>
      <c r="C10" s="32">
        <v>-16983.47</v>
      </c>
      <c r="D10" s="32">
        <v>-16588.089999999997</v>
      </c>
      <c r="E10" s="32">
        <v>-18574.46</v>
      </c>
      <c r="F10" s="32">
        <v>-21121.65</v>
      </c>
      <c r="G10" s="32">
        <v>-28152.430000000008</v>
      </c>
      <c r="H10" s="32">
        <v>-21516.649999999994</v>
      </c>
      <c r="I10" s="32">
        <v>-15003.440000000002</v>
      </c>
      <c r="J10" s="32">
        <v>-14723.880000000005</v>
      </c>
      <c r="K10" s="32">
        <v>-18553.709999999992</v>
      </c>
      <c r="L10" s="32">
        <v>-18892.679999999993</v>
      </c>
      <c r="M10" s="32">
        <v>-16865.670000000013</v>
      </c>
      <c r="N10" s="32">
        <v>-16592.440000000002</v>
      </c>
      <c r="O10" s="32">
        <f t="shared" si="0"/>
        <v>-223568.57</v>
      </c>
    </row>
    <row r="11" spans="1:15" x14ac:dyDescent="0.25">
      <c r="A11" s="213" t="s">
        <v>12</v>
      </c>
      <c r="B11" s="213"/>
      <c r="C11" s="36">
        <f t="shared" ref="C11:O11" si="1">SUM(C3:C10)</f>
        <v>7681694.5500000007</v>
      </c>
      <c r="D11" s="36">
        <f t="shared" si="1"/>
        <v>7902289.3900000006</v>
      </c>
      <c r="E11" s="36">
        <f t="shared" si="1"/>
        <v>8234980.9399999995</v>
      </c>
      <c r="F11" s="36">
        <f t="shared" si="1"/>
        <v>8157257.8000000007</v>
      </c>
      <c r="G11" s="36">
        <f t="shared" si="1"/>
        <v>8499655.6799999997</v>
      </c>
      <c r="H11" s="36">
        <f t="shared" si="1"/>
        <v>8385755.3800000008</v>
      </c>
      <c r="I11" s="36">
        <f t="shared" si="1"/>
        <v>8429243.4100000001</v>
      </c>
      <c r="J11" s="36">
        <f t="shared" si="1"/>
        <v>8807762.9399999995</v>
      </c>
      <c r="K11" s="36">
        <f t="shared" si="1"/>
        <v>8844656.8299999982</v>
      </c>
      <c r="L11" s="36">
        <f t="shared" si="1"/>
        <v>8523112.2200000025</v>
      </c>
      <c r="M11" s="36">
        <f t="shared" si="1"/>
        <v>7893905.5499999989</v>
      </c>
      <c r="N11" s="36">
        <f t="shared" si="1"/>
        <v>8435180.8600000013</v>
      </c>
      <c r="O11" s="36">
        <f t="shared" si="1"/>
        <v>99795495.550000012</v>
      </c>
    </row>
    <row r="12" spans="1:15" x14ac:dyDescent="0.25">
      <c r="O12" s="1"/>
    </row>
    <row r="13" spans="1:15" x14ac:dyDescent="0.25">
      <c r="A13" s="211" t="s">
        <v>30</v>
      </c>
      <c r="B13" s="212"/>
      <c r="C13" s="33">
        <v>43101</v>
      </c>
      <c r="D13" s="33">
        <v>43132</v>
      </c>
      <c r="E13" s="33">
        <v>43160</v>
      </c>
      <c r="F13" s="33">
        <v>43191</v>
      </c>
      <c r="G13" s="33">
        <v>43221</v>
      </c>
      <c r="H13" s="33">
        <v>43252</v>
      </c>
      <c r="I13" s="33">
        <v>43282</v>
      </c>
      <c r="J13" s="33">
        <v>43313</v>
      </c>
      <c r="K13" s="33">
        <v>43344</v>
      </c>
      <c r="L13" s="33">
        <v>43374</v>
      </c>
      <c r="M13" s="33">
        <v>43405</v>
      </c>
      <c r="N13" s="33">
        <v>43435</v>
      </c>
      <c r="O13" s="34" t="s">
        <v>12</v>
      </c>
    </row>
    <row r="14" spans="1:15" x14ac:dyDescent="0.25">
      <c r="A14" s="31" t="s">
        <v>31</v>
      </c>
      <c r="B14" s="31" t="s">
        <v>15</v>
      </c>
      <c r="C14" s="32">
        <v>799823.82</v>
      </c>
      <c r="D14" s="32">
        <v>1191443.44</v>
      </c>
      <c r="E14" s="32">
        <v>926854.51</v>
      </c>
      <c r="F14" s="32">
        <v>1100908.17</v>
      </c>
      <c r="G14" s="32">
        <v>1185410.9099999997</v>
      </c>
      <c r="H14" s="32">
        <v>1803649.2000000002</v>
      </c>
      <c r="I14" s="32">
        <v>2130742.5100000007</v>
      </c>
      <c r="J14" s="32">
        <v>1817186.0899999999</v>
      </c>
      <c r="K14" s="32">
        <v>2483264.5</v>
      </c>
      <c r="L14" s="32">
        <v>1911804.3699999992</v>
      </c>
      <c r="M14" s="32">
        <v>1630555.9000000022</v>
      </c>
      <c r="N14" s="32">
        <v>1159799.6999999993</v>
      </c>
      <c r="O14" s="32">
        <f t="shared" ref="O14:O19" si="2">SUM(C14:N14)</f>
        <v>18141443.120000001</v>
      </c>
    </row>
    <row r="15" spans="1:15" x14ac:dyDescent="0.25">
      <c r="A15" s="31" t="s">
        <v>32</v>
      </c>
      <c r="B15" s="31" t="s">
        <v>33</v>
      </c>
      <c r="C15" s="32">
        <v>1019619.88</v>
      </c>
      <c r="D15" s="32">
        <v>949501.77999999991</v>
      </c>
      <c r="E15" s="32">
        <v>1097395.9600000002</v>
      </c>
      <c r="F15" s="32">
        <v>1018345.6000000001</v>
      </c>
      <c r="G15" s="32">
        <v>1051061.81</v>
      </c>
      <c r="H15" s="32">
        <v>1075608.1099999994</v>
      </c>
      <c r="I15" s="32">
        <v>1052465.4400000004</v>
      </c>
      <c r="J15" s="32">
        <v>1051886.6500000004</v>
      </c>
      <c r="K15" s="32">
        <v>988436.75</v>
      </c>
      <c r="L15" s="32">
        <v>1020886.0099999998</v>
      </c>
      <c r="M15" s="32">
        <v>985462.16000000015</v>
      </c>
      <c r="N15" s="32">
        <v>1056923.959999999</v>
      </c>
      <c r="O15" s="32">
        <f t="shared" si="2"/>
        <v>12367594.109999999</v>
      </c>
    </row>
    <row r="16" spans="1:15" x14ac:dyDescent="0.25">
      <c r="A16" s="31" t="s">
        <v>34</v>
      </c>
      <c r="B16" s="31" t="s">
        <v>35</v>
      </c>
      <c r="C16" s="32">
        <v>7012.45</v>
      </c>
      <c r="D16" s="32">
        <v>12125.469999999998</v>
      </c>
      <c r="E16" s="32">
        <v>9258.1500000000015</v>
      </c>
      <c r="F16" s="32">
        <v>6704.82</v>
      </c>
      <c r="G16" s="32">
        <v>6479.8400000000038</v>
      </c>
      <c r="H16" s="32">
        <v>7255.2799999999988</v>
      </c>
      <c r="I16" s="32">
        <v>7801.8899999999994</v>
      </c>
      <c r="J16" s="32">
        <v>10885.749999999993</v>
      </c>
      <c r="K16" s="32">
        <v>7864.5800000000017</v>
      </c>
      <c r="L16" s="32">
        <v>11297.820000000007</v>
      </c>
      <c r="M16" s="32">
        <v>13998.449999999997</v>
      </c>
      <c r="N16" s="32">
        <v>11447.190000000002</v>
      </c>
      <c r="O16" s="32">
        <f t="shared" si="2"/>
        <v>112131.69</v>
      </c>
    </row>
    <row r="17" spans="1:15" x14ac:dyDescent="0.25">
      <c r="A17" s="31" t="s">
        <v>36</v>
      </c>
      <c r="B17" s="31" t="s">
        <v>23</v>
      </c>
      <c r="C17" s="32">
        <v>115320.48</v>
      </c>
      <c r="D17" s="32">
        <v>105598.00000000001</v>
      </c>
      <c r="E17" s="32">
        <v>164988.12999999998</v>
      </c>
      <c r="F17" s="32">
        <v>355035.88</v>
      </c>
      <c r="G17" s="32">
        <v>188855.12</v>
      </c>
      <c r="H17" s="32">
        <v>347447.78999999992</v>
      </c>
      <c r="I17" s="32">
        <v>131074.37000000011</v>
      </c>
      <c r="J17" s="32">
        <v>224999.86999999988</v>
      </c>
      <c r="K17" s="32">
        <v>263104.60000000009</v>
      </c>
      <c r="L17" s="32">
        <v>249731.01</v>
      </c>
      <c r="M17" s="32">
        <v>184206.5</v>
      </c>
      <c r="N17" s="32">
        <v>164928.81999999983</v>
      </c>
      <c r="O17" s="32">
        <f t="shared" si="2"/>
        <v>2495290.5699999998</v>
      </c>
    </row>
    <row r="18" spans="1:15" x14ac:dyDescent="0.25">
      <c r="A18" s="31" t="s">
        <v>37</v>
      </c>
      <c r="B18" s="31" t="s">
        <v>27</v>
      </c>
      <c r="C18" s="32">
        <v>138218.82</v>
      </c>
      <c r="D18" s="32">
        <v>186181.27999999997</v>
      </c>
      <c r="E18" s="32">
        <v>197138.12</v>
      </c>
      <c r="F18" s="32">
        <v>174496.64000000001</v>
      </c>
      <c r="G18" s="32">
        <v>189049.88</v>
      </c>
      <c r="H18" s="32">
        <v>200585.80000000005</v>
      </c>
      <c r="I18" s="32">
        <v>184135.34999999986</v>
      </c>
      <c r="J18" s="32">
        <v>248635.6100000001</v>
      </c>
      <c r="K18" s="32">
        <v>187900.24</v>
      </c>
      <c r="L18" s="32">
        <v>193780.97999999998</v>
      </c>
      <c r="M18" s="32">
        <v>229701.90999999992</v>
      </c>
      <c r="N18" s="32">
        <v>163430.43999999994</v>
      </c>
      <c r="O18" s="32">
        <f t="shared" si="2"/>
        <v>2293255.0699999998</v>
      </c>
    </row>
    <row r="19" spans="1:15" x14ac:dyDescent="0.25">
      <c r="A19" s="31" t="s">
        <v>38</v>
      </c>
      <c r="B19" s="31" t="s">
        <v>39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6197226.0300000003</v>
      </c>
      <c r="K19" s="32">
        <v>0</v>
      </c>
      <c r="L19" s="32">
        <v>0</v>
      </c>
      <c r="M19" s="32">
        <v>0</v>
      </c>
      <c r="N19" s="32">
        <v>0</v>
      </c>
      <c r="O19" s="32">
        <f t="shared" si="2"/>
        <v>6197226.0300000003</v>
      </c>
    </row>
    <row r="20" spans="1:15" x14ac:dyDescent="0.25">
      <c r="A20" s="213" t="s">
        <v>12</v>
      </c>
      <c r="B20" s="213"/>
      <c r="C20" s="36">
        <f t="shared" ref="C20:O20" si="3">SUM(C14:C19)</f>
        <v>2079995.45</v>
      </c>
      <c r="D20" s="36">
        <f t="shared" si="3"/>
        <v>2444849.9699999997</v>
      </c>
      <c r="E20" s="36">
        <f t="shared" si="3"/>
        <v>2395634.87</v>
      </c>
      <c r="F20" s="36">
        <f t="shared" si="3"/>
        <v>2655491.11</v>
      </c>
      <c r="G20" s="36">
        <f t="shared" si="3"/>
        <v>2620857.5599999996</v>
      </c>
      <c r="H20" s="36">
        <f t="shared" si="3"/>
        <v>3434546.1799999997</v>
      </c>
      <c r="I20" s="36">
        <f t="shared" si="3"/>
        <v>3506219.5600000015</v>
      </c>
      <c r="J20" s="36">
        <f t="shared" si="3"/>
        <v>9550820</v>
      </c>
      <c r="K20" s="36">
        <f t="shared" si="3"/>
        <v>3930570.67</v>
      </c>
      <c r="L20" s="36">
        <f t="shared" si="3"/>
        <v>3387500.189999999</v>
      </c>
      <c r="M20" s="36">
        <f t="shared" si="3"/>
        <v>3043924.9200000027</v>
      </c>
      <c r="N20" s="36">
        <f t="shared" si="3"/>
        <v>2556530.109999998</v>
      </c>
      <c r="O20" s="36">
        <f t="shared" si="3"/>
        <v>41606940.590000004</v>
      </c>
    </row>
    <row r="21" spans="1:15" x14ac:dyDescent="0.25">
      <c r="O21" s="1"/>
    </row>
    <row r="22" spans="1:15" x14ac:dyDescent="0.25">
      <c r="A22" s="211" t="s">
        <v>40</v>
      </c>
      <c r="B22" s="212"/>
      <c r="C22" s="33">
        <v>43101</v>
      </c>
      <c r="D22" s="33">
        <v>43132</v>
      </c>
      <c r="E22" s="33">
        <v>43160</v>
      </c>
      <c r="F22" s="33">
        <v>43191</v>
      </c>
      <c r="G22" s="33">
        <v>43221</v>
      </c>
      <c r="H22" s="33">
        <v>43252</v>
      </c>
      <c r="I22" s="33">
        <v>43282</v>
      </c>
      <c r="J22" s="33">
        <v>43313</v>
      </c>
      <c r="K22" s="33">
        <v>43344</v>
      </c>
      <c r="L22" s="33">
        <v>43374</v>
      </c>
      <c r="M22" s="33">
        <v>43405</v>
      </c>
      <c r="N22" s="33">
        <v>43435</v>
      </c>
      <c r="O22" s="34" t="s">
        <v>12</v>
      </c>
    </row>
    <row r="23" spans="1:15" x14ac:dyDescent="0.25">
      <c r="A23" s="31" t="s">
        <v>41</v>
      </c>
      <c r="B23" s="31" t="s">
        <v>42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ref="O23:O32" si="4">SUM(C23:N23)</f>
        <v>0</v>
      </c>
    </row>
    <row r="24" spans="1:15" x14ac:dyDescent="0.25">
      <c r="A24" s="31" t="s">
        <v>43</v>
      </c>
      <c r="B24" s="31" t="s">
        <v>44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4"/>
        <v>0</v>
      </c>
    </row>
    <row r="25" spans="1:15" x14ac:dyDescent="0.25">
      <c r="A25" s="31" t="s">
        <v>45</v>
      </c>
      <c r="B25" s="31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4"/>
        <v>0</v>
      </c>
    </row>
    <row r="26" spans="1:15" x14ac:dyDescent="0.25">
      <c r="A26" s="31" t="s">
        <v>47</v>
      </c>
      <c r="B26" s="31" t="s">
        <v>48</v>
      </c>
      <c r="C26" s="32">
        <v>1357596</v>
      </c>
      <c r="D26" s="32">
        <v>1337864.7000000002</v>
      </c>
      <c r="E26" s="32">
        <v>1257043.48</v>
      </c>
      <c r="F26" s="32">
        <v>1247547.8399999994</v>
      </c>
      <c r="G26" s="32">
        <v>1322442.6600000001</v>
      </c>
      <c r="H26" s="32">
        <v>1504949.6000000006</v>
      </c>
      <c r="I26" s="32">
        <v>1395486.3399999989</v>
      </c>
      <c r="J26" s="32">
        <v>1403297.2800000012</v>
      </c>
      <c r="K26" s="32">
        <v>1444835.6999999993</v>
      </c>
      <c r="L26" s="32">
        <v>1390609.2200000007</v>
      </c>
      <c r="M26" s="32">
        <v>1432407.9000000004</v>
      </c>
      <c r="N26" s="32">
        <v>1420730.08</v>
      </c>
      <c r="O26" s="32">
        <f t="shared" si="4"/>
        <v>16514810.800000001</v>
      </c>
    </row>
    <row r="27" spans="1:15" x14ac:dyDescent="0.25">
      <c r="A27" s="31" t="s">
        <v>49</v>
      </c>
      <c r="B27" s="31" t="s">
        <v>50</v>
      </c>
      <c r="C27" s="32">
        <v>8896.68</v>
      </c>
      <c r="D27" s="32">
        <v>4168.6900000000005</v>
      </c>
      <c r="E27" s="32">
        <v>4757.26</v>
      </c>
      <c r="F27" s="32">
        <v>3208.0299999999988</v>
      </c>
      <c r="G27" s="32">
        <v>3176.2400000000016</v>
      </c>
      <c r="H27" s="32">
        <v>2899.0699999999997</v>
      </c>
      <c r="I27" s="32">
        <v>4795.119999999999</v>
      </c>
      <c r="J27" s="32">
        <v>3175.5799999999981</v>
      </c>
      <c r="K27" s="32">
        <v>4123.1399999999994</v>
      </c>
      <c r="L27" s="32">
        <v>3459.4700000000012</v>
      </c>
      <c r="M27" s="32">
        <v>4583.0200000000041</v>
      </c>
      <c r="N27" s="32">
        <v>3715.489999999998</v>
      </c>
      <c r="O27" s="32">
        <f t="shared" si="4"/>
        <v>50957.79</v>
      </c>
    </row>
    <row r="28" spans="1:15" x14ac:dyDescent="0.25">
      <c r="A28" s="31" t="s">
        <v>51</v>
      </c>
      <c r="B28" s="31" t="s">
        <v>52</v>
      </c>
      <c r="C28" s="32">
        <v>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15</v>
      </c>
      <c r="L28" s="32">
        <v>0</v>
      </c>
      <c r="M28" s="32">
        <v>0</v>
      </c>
      <c r="N28" s="32">
        <v>0</v>
      </c>
      <c r="O28" s="32">
        <f t="shared" si="4"/>
        <v>40</v>
      </c>
    </row>
    <row r="29" spans="1:15" x14ac:dyDescent="0.25">
      <c r="A29" s="31" t="s">
        <v>53</v>
      </c>
      <c r="B29" s="31" t="s">
        <v>54</v>
      </c>
      <c r="C29" s="32">
        <v>383.07</v>
      </c>
      <c r="D29" s="32">
        <v>60031.44</v>
      </c>
      <c r="E29" s="32">
        <v>10294.120000000003</v>
      </c>
      <c r="F29" s="32">
        <v>18981.549999999988</v>
      </c>
      <c r="G29" s="32">
        <v>1528.6100000000006</v>
      </c>
      <c r="H29" s="32">
        <v>607.19000000000233</v>
      </c>
      <c r="I29" s="32">
        <v>77823.009999999995</v>
      </c>
      <c r="J29" s="32">
        <v>5258.9500000000116</v>
      </c>
      <c r="K29" s="32">
        <v>0</v>
      </c>
      <c r="L29" s="32">
        <v>70.459999999991851</v>
      </c>
      <c r="M29" s="32">
        <v>15874.770000000019</v>
      </c>
      <c r="N29" s="32">
        <v>260.37999999997555</v>
      </c>
      <c r="O29" s="32">
        <f t="shared" si="4"/>
        <v>191113.55</v>
      </c>
    </row>
    <row r="30" spans="1:15" x14ac:dyDescent="0.25">
      <c r="A30" s="31" t="s">
        <v>55</v>
      </c>
      <c r="B30" s="31" t="s">
        <v>56</v>
      </c>
      <c r="C30" s="32">
        <v>49400.72</v>
      </c>
      <c r="D30" s="32">
        <v>36681.56</v>
      </c>
      <c r="E30" s="32">
        <v>42789.119999999995</v>
      </c>
      <c r="F30" s="32">
        <v>42789.119999999995</v>
      </c>
      <c r="G30" s="32">
        <v>42789.120000000024</v>
      </c>
      <c r="H30" s="32">
        <v>42789.119999999995</v>
      </c>
      <c r="I30" s="32">
        <v>42789.119999999995</v>
      </c>
      <c r="J30" s="32">
        <v>48776.919999999984</v>
      </c>
      <c r="K30" s="32">
        <v>18367.410000000033</v>
      </c>
      <c r="L30" s="32">
        <v>18367.409999999974</v>
      </c>
      <c r="M30" s="32">
        <v>18367.410000000033</v>
      </c>
      <c r="N30" s="32">
        <v>66971.31</v>
      </c>
      <c r="O30" s="32">
        <f t="shared" si="4"/>
        <v>470878.34</v>
      </c>
    </row>
    <row r="31" spans="1:15" x14ac:dyDescent="0.25">
      <c r="A31" s="31" t="s">
        <v>57</v>
      </c>
      <c r="B31" s="31" t="s">
        <v>58</v>
      </c>
      <c r="C31" s="32">
        <v>350000</v>
      </c>
      <c r="D31" s="32">
        <v>350000</v>
      </c>
      <c r="E31" s="32">
        <v>350000</v>
      </c>
      <c r="F31" s="32">
        <v>350000</v>
      </c>
      <c r="G31" s="32">
        <v>350000</v>
      </c>
      <c r="H31" s="32">
        <v>350000</v>
      </c>
      <c r="I31" s="32">
        <v>350000</v>
      </c>
      <c r="J31" s="32">
        <v>350000</v>
      </c>
      <c r="K31" s="32">
        <v>350000</v>
      </c>
      <c r="L31" s="32">
        <v>350000</v>
      </c>
      <c r="M31" s="32">
        <v>350000</v>
      </c>
      <c r="N31" s="32">
        <v>350000</v>
      </c>
      <c r="O31" s="32">
        <f t="shared" si="4"/>
        <v>4200000</v>
      </c>
    </row>
    <row r="32" spans="1:15" x14ac:dyDescent="0.25">
      <c r="A32" s="31" t="s">
        <v>59</v>
      </c>
      <c r="B32" s="31" t="s">
        <v>60</v>
      </c>
      <c r="C32" s="32">
        <v>2669.28</v>
      </c>
      <c r="D32" s="32">
        <v>2325.2599999999998</v>
      </c>
      <c r="E32" s="32">
        <v>2658.26</v>
      </c>
      <c r="F32" s="32">
        <v>2456.8900000000003</v>
      </c>
      <c r="G32" s="32">
        <v>25074.18</v>
      </c>
      <c r="H32" s="32">
        <v>8608.1699999999983</v>
      </c>
      <c r="I32" s="32">
        <v>3415.4599999999991</v>
      </c>
      <c r="J32" s="32">
        <v>9467.9800000000032</v>
      </c>
      <c r="K32" s="32">
        <v>-42555.8</v>
      </c>
      <c r="L32" s="32">
        <v>54197.700000000004</v>
      </c>
      <c r="M32" s="32">
        <v>38890.959999999992</v>
      </c>
      <c r="N32" s="32">
        <v>4386.2100000000064</v>
      </c>
      <c r="O32" s="32">
        <f t="shared" si="4"/>
        <v>111594.55</v>
      </c>
    </row>
    <row r="33" spans="1:15" x14ac:dyDescent="0.25">
      <c r="A33" s="213" t="s">
        <v>12</v>
      </c>
      <c r="B33" s="213"/>
      <c r="C33" s="36">
        <f t="shared" ref="C33:O33" si="5">SUM(C23:C32)</f>
        <v>1768970.75</v>
      </c>
      <c r="D33" s="36">
        <f t="shared" si="5"/>
        <v>1791071.6500000001</v>
      </c>
      <c r="E33" s="36">
        <f t="shared" si="5"/>
        <v>1667542.24</v>
      </c>
      <c r="F33" s="36">
        <f t="shared" si="5"/>
        <v>1664983.4299999995</v>
      </c>
      <c r="G33" s="36">
        <f t="shared" si="5"/>
        <v>1745010.8100000003</v>
      </c>
      <c r="H33" s="36">
        <f t="shared" si="5"/>
        <v>1909853.1500000004</v>
      </c>
      <c r="I33" s="36">
        <f t="shared" si="5"/>
        <v>1874309.0499999989</v>
      </c>
      <c r="J33" s="36">
        <f t="shared" si="5"/>
        <v>1819976.7100000011</v>
      </c>
      <c r="K33" s="36">
        <f t="shared" si="5"/>
        <v>1774785.449999999</v>
      </c>
      <c r="L33" s="36">
        <f t="shared" si="5"/>
        <v>1816704.2600000005</v>
      </c>
      <c r="M33" s="36">
        <f t="shared" si="5"/>
        <v>1860124.0600000005</v>
      </c>
      <c r="N33" s="36">
        <f t="shared" si="5"/>
        <v>1846063.47</v>
      </c>
      <c r="O33" s="36">
        <f t="shared" si="5"/>
        <v>21539395.030000001</v>
      </c>
    </row>
    <row r="34" spans="1:15" x14ac:dyDescent="0.25">
      <c r="O34" s="1"/>
    </row>
    <row r="35" spans="1:15" x14ac:dyDescent="0.25">
      <c r="A35" s="211" t="s">
        <v>61</v>
      </c>
      <c r="B35" s="212"/>
      <c r="C35" s="33">
        <v>43101</v>
      </c>
      <c r="D35" s="33">
        <v>43132</v>
      </c>
      <c r="E35" s="33">
        <v>43160</v>
      </c>
      <c r="F35" s="33">
        <v>43191</v>
      </c>
      <c r="G35" s="33">
        <v>43221</v>
      </c>
      <c r="H35" s="33">
        <v>43252</v>
      </c>
      <c r="I35" s="33">
        <v>43282</v>
      </c>
      <c r="J35" s="33">
        <v>43313</v>
      </c>
      <c r="K35" s="33">
        <v>43344</v>
      </c>
      <c r="L35" s="33">
        <v>43374</v>
      </c>
      <c r="M35" s="33">
        <v>43405</v>
      </c>
      <c r="N35" s="33">
        <v>43435</v>
      </c>
      <c r="O35" s="34" t="s">
        <v>12</v>
      </c>
    </row>
    <row r="36" spans="1:15" x14ac:dyDescent="0.25">
      <c r="A36" s="31" t="s">
        <v>62</v>
      </c>
      <c r="B36" s="31" t="s">
        <v>63</v>
      </c>
      <c r="C36" s="32">
        <v>1586423.91</v>
      </c>
      <c r="D36" s="32">
        <v>736191.90000000014</v>
      </c>
      <c r="E36" s="32">
        <v>604254.48</v>
      </c>
      <c r="F36" s="32">
        <v>685799.14999999991</v>
      </c>
      <c r="G36" s="32">
        <v>1316248.6099999999</v>
      </c>
      <c r="H36" s="32">
        <v>2468914.5200000005</v>
      </c>
      <c r="I36" s="32">
        <v>795086.62999999989</v>
      </c>
      <c r="J36" s="32">
        <v>1266185.2600000007</v>
      </c>
      <c r="K36" s="32">
        <v>733570.29999999888</v>
      </c>
      <c r="L36" s="32">
        <v>2483945.2200000007</v>
      </c>
      <c r="M36" s="32">
        <v>2322649.9499999993</v>
      </c>
      <c r="N36" s="32">
        <v>1731765.5600000005</v>
      </c>
      <c r="O36" s="32">
        <f>SUM(C36:N36)</f>
        <v>16731035.49</v>
      </c>
    </row>
    <row r="37" spans="1:15" x14ac:dyDescent="0.25">
      <c r="A37" s="31" t="s">
        <v>64</v>
      </c>
      <c r="B37" s="31" t="s">
        <v>65</v>
      </c>
      <c r="C37" s="32">
        <v>38473.599999999999</v>
      </c>
      <c r="D37" s="32">
        <v>0</v>
      </c>
      <c r="E37" s="32">
        <v>36671.96</v>
      </c>
      <c r="F37" s="32">
        <v>0</v>
      </c>
      <c r="G37" s="32">
        <v>13070.529999999999</v>
      </c>
      <c r="H37" s="32">
        <v>0</v>
      </c>
      <c r="I37" s="32">
        <v>0</v>
      </c>
      <c r="J37" s="32">
        <v>144455.67000000001</v>
      </c>
      <c r="K37" s="32">
        <v>0</v>
      </c>
      <c r="L37" s="32">
        <v>0</v>
      </c>
      <c r="M37" s="32">
        <v>0</v>
      </c>
      <c r="N37" s="32">
        <v>14430.709999999992</v>
      </c>
      <c r="O37" s="32">
        <f>SUM(C37:N37)</f>
        <v>247102.47</v>
      </c>
    </row>
    <row r="38" spans="1:15" x14ac:dyDescent="0.25">
      <c r="A38" s="31" t="s">
        <v>66</v>
      </c>
      <c r="B38" s="31" t="s">
        <v>67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>SUM(C38:N38)</f>
        <v>0</v>
      </c>
    </row>
    <row r="39" spans="1:15" x14ac:dyDescent="0.25">
      <c r="A39" s="31" t="s">
        <v>68</v>
      </c>
      <c r="B39" s="31" t="s">
        <v>69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>SUM(C39:N39)</f>
        <v>0</v>
      </c>
    </row>
    <row r="40" spans="1:15" x14ac:dyDescent="0.25">
      <c r="A40" s="31" t="s">
        <v>70</v>
      </c>
      <c r="B40" s="31" t="s">
        <v>71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3428189.4</v>
      </c>
      <c r="O40" s="32">
        <f>SUM(C40:N40)</f>
        <v>3428189.4</v>
      </c>
    </row>
    <row r="41" spans="1:15" x14ac:dyDescent="0.25">
      <c r="A41" s="213" t="s">
        <v>12</v>
      </c>
      <c r="B41" s="213"/>
      <c r="C41" s="36">
        <f t="shared" ref="C41:O41" si="6">SUM(C36:C40)</f>
        <v>1624897.51</v>
      </c>
      <c r="D41" s="36">
        <f t="shared" si="6"/>
        <v>736191.90000000014</v>
      </c>
      <c r="E41" s="36">
        <f t="shared" si="6"/>
        <v>640926.43999999994</v>
      </c>
      <c r="F41" s="36">
        <f t="shared" si="6"/>
        <v>685799.14999999991</v>
      </c>
      <c r="G41" s="36">
        <f t="shared" si="6"/>
        <v>1329319.1399999999</v>
      </c>
      <c r="H41" s="36">
        <f t="shared" si="6"/>
        <v>2468914.5200000005</v>
      </c>
      <c r="I41" s="36">
        <f t="shared" si="6"/>
        <v>795086.62999999989</v>
      </c>
      <c r="J41" s="36">
        <f t="shared" si="6"/>
        <v>1410640.9300000006</v>
      </c>
      <c r="K41" s="36">
        <f t="shared" si="6"/>
        <v>733570.29999999888</v>
      </c>
      <c r="L41" s="36">
        <f t="shared" si="6"/>
        <v>2483945.2200000007</v>
      </c>
      <c r="M41" s="36">
        <f t="shared" si="6"/>
        <v>2322649.9499999993</v>
      </c>
      <c r="N41" s="36">
        <f t="shared" si="6"/>
        <v>5174385.67</v>
      </c>
      <c r="O41" s="36">
        <f t="shared" si="6"/>
        <v>20406327.359999999</v>
      </c>
    </row>
    <row r="42" spans="1:15" x14ac:dyDescent="0.25">
      <c r="A42" s="1" t="s">
        <v>250</v>
      </c>
    </row>
  </sheetData>
  <mergeCells count="8">
    <mergeCell ref="A35:B35"/>
    <mergeCell ref="A41:B41"/>
    <mergeCell ref="A2:B2"/>
    <mergeCell ref="A11:B11"/>
    <mergeCell ref="A13:B13"/>
    <mergeCell ref="A20:B20"/>
    <mergeCell ref="A22:B22"/>
    <mergeCell ref="A33:B3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zoomScale="145" zoomScaleNormal="145" workbookViewId="0"/>
  </sheetViews>
  <sheetFormatPr defaultRowHeight="15" x14ac:dyDescent="0.25"/>
  <cols>
    <col min="1" max="1" width="8" style="2" bestFit="1" customWidth="1"/>
    <col min="2" max="2" width="45" style="2" bestFit="1" customWidth="1"/>
    <col min="3" max="14" width="13.28515625" style="2" bestFit="1" customWidth="1"/>
    <col min="15" max="15" width="15.28515625" style="2" bestFit="1" customWidth="1"/>
    <col min="16" max="16384" width="9.140625" style="2"/>
  </cols>
  <sheetData>
    <row r="1" spans="1:15" x14ac:dyDescent="0.25">
      <c r="A1" s="1" t="s">
        <v>113</v>
      </c>
    </row>
    <row r="2" spans="1:15" x14ac:dyDescent="0.25">
      <c r="A2" s="211" t="s">
        <v>13</v>
      </c>
      <c r="B2" s="212"/>
      <c r="C2" s="33">
        <v>43466</v>
      </c>
      <c r="D2" s="33">
        <v>43497</v>
      </c>
      <c r="E2" s="33">
        <v>43525</v>
      </c>
      <c r="F2" s="33">
        <v>43556</v>
      </c>
      <c r="G2" s="33">
        <v>43586</v>
      </c>
      <c r="H2" s="33">
        <v>43617</v>
      </c>
      <c r="I2" s="33">
        <v>43647</v>
      </c>
      <c r="J2" s="33">
        <v>43678</v>
      </c>
      <c r="K2" s="33">
        <v>43709</v>
      </c>
      <c r="L2" s="33">
        <v>43739</v>
      </c>
      <c r="M2" s="33">
        <v>43770</v>
      </c>
      <c r="N2" s="33">
        <v>43800</v>
      </c>
      <c r="O2" s="34" t="s">
        <v>12</v>
      </c>
    </row>
    <row r="3" spans="1:15" x14ac:dyDescent="0.25">
      <c r="A3" s="31" t="s">
        <v>14</v>
      </c>
      <c r="B3" s="31" t="s">
        <v>15</v>
      </c>
      <c r="C3" s="32">
        <v>1606444.05</v>
      </c>
      <c r="D3" s="32">
        <v>1625426.53</v>
      </c>
      <c r="E3" s="32">
        <v>1777251.5499999998</v>
      </c>
      <c r="F3" s="32">
        <v>1634451.6500000004</v>
      </c>
      <c r="G3" s="32">
        <v>1902899.9799999995</v>
      </c>
      <c r="H3" s="32">
        <v>1710495.2300000004</v>
      </c>
      <c r="I3" s="32">
        <v>1752205.42</v>
      </c>
      <c r="J3" s="32">
        <v>1860950.1899999995</v>
      </c>
      <c r="K3" s="32">
        <v>1946290.5300000012</v>
      </c>
      <c r="L3" s="32">
        <v>1906301.08</v>
      </c>
      <c r="M3" s="32">
        <v>1834734.9499999993</v>
      </c>
      <c r="N3" s="32">
        <v>1828573.6799999997</v>
      </c>
      <c r="O3" s="32">
        <f>SUM(C3:N3)</f>
        <v>21386024.84</v>
      </c>
    </row>
    <row r="4" spans="1:15" x14ac:dyDescent="0.25">
      <c r="A4" s="31" t="s">
        <v>16</v>
      </c>
      <c r="B4" s="31" t="s">
        <v>17</v>
      </c>
      <c r="C4" s="32">
        <v>2061467.94</v>
      </c>
      <c r="D4" s="32">
        <v>2096601.9</v>
      </c>
      <c r="E4" s="32">
        <v>2239642.1500000004</v>
      </c>
      <c r="F4" s="32">
        <v>2160691.34</v>
      </c>
      <c r="G4" s="32">
        <v>2149676.58</v>
      </c>
      <c r="H4" s="32">
        <v>2011855.7400000002</v>
      </c>
      <c r="I4" s="32">
        <v>2225841.8200000003</v>
      </c>
      <c r="J4" s="32">
        <v>2142749.8499999996</v>
      </c>
      <c r="K4" s="32">
        <v>2180501.5399999991</v>
      </c>
      <c r="L4" s="32">
        <v>2250428.0199999996</v>
      </c>
      <c r="M4" s="32">
        <v>2204534.2100000009</v>
      </c>
      <c r="N4" s="32">
        <v>2428156.2399999984</v>
      </c>
      <c r="O4" s="32">
        <f t="shared" ref="O4:O10" si="0">SUM(C4:N4)</f>
        <v>26152147.329999998</v>
      </c>
    </row>
    <row r="5" spans="1:15" x14ac:dyDescent="0.25">
      <c r="A5" s="31" t="s">
        <v>18</v>
      </c>
      <c r="B5" s="31" t="s">
        <v>19</v>
      </c>
      <c r="C5" s="32">
        <v>664596.57999999996</v>
      </c>
      <c r="D5" s="32">
        <v>830559.74000000011</v>
      </c>
      <c r="E5" s="32">
        <v>775042.86999999988</v>
      </c>
      <c r="F5" s="32">
        <v>762839.98</v>
      </c>
      <c r="G5" s="32">
        <v>769354.20000000019</v>
      </c>
      <c r="H5" s="32">
        <v>792958.45000000019</v>
      </c>
      <c r="I5" s="32">
        <v>801820.71</v>
      </c>
      <c r="J5" s="32">
        <v>832160.51999999955</v>
      </c>
      <c r="K5" s="32">
        <v>807873.93000000063</v>
      </c>
      <c r="L5" s="32">
        <v>769868.1799999997</v>
      </c>
      <c r="M5" s="32">
        <v>759663.6799999997</v>
      </c>
      <c r="N5" s="32">
        <v>802014.58999999985</v>
      </c>
      <c r="O5" s="32">
        <f t="shared" si="0"/>
        <v>9368753.4299999997</v>
      </c>
    </row>
    <row r="6" spans="1:15" x14ac:dyDescent="0.25">
      <c r="A6" s="31" t="s">
        <v>20</v>
      </c>
      <c r="B6" s="31" t="s">
        <v>21</v>
      </c>
      <c r="C6" s="32">
        <v>549115.75</v>
      </c>
      <c r="D6" s="32">
        <v>671314.73</v>
      </c>
      <c r="E6" s="32">
        <v>580827.1100000001</v>
      </c>
      <c r="F6" s="32">
        <v>636779.30999999982</v>
      </c>
      <c r="G6" s="32">
        <v>639147.89999999991</v>
      </c>
      <c r="H6" s="32">
        <v>599571.70000000019</v>
      </c>
      <c r="I6" s="32">
        <v>626334.40000000037</v>
      </c>
      <c r="J6" s="32">
        <v>677044.44999999925</v>
      </c>
      <c r="K6" s="32">
        <v>764809.33000000007</v>
      </c>
      <c r="L6" s="32">
        <v>669990.60000000056</v>
      </c>
      <c r="M6" s="32">
        <v>618844.06999999937</v>
      </c>
      <c r="N6" s="32">
        <v>605639.84000000078</v>
      </c>
      <c r="O6" s="32">
        <f t="shared" si="0"/>
        <v>7639419.1900000004</v>
      </c>
    </row>
    <row r="7" spans="1:15" x14ac:dyDescent="0.25">
      <c r="A7" s="31" t="s">
        <v>22</v>
      </c>
      <c r="B7" s="31" t="s">
        <v>23</v>
      </c>
      <c r="C7" s="32">
        <v>282095.90999999997</v>
      </c>
      <c r="D7" s="32">
        <v>323727.05</v>
      </c>
      <c r="E7" s="32">
        <v>147917.60999999999</v>
      </c>
      <c r="F7" s="32">
        <v>85919.490000000107</v>
      </c>
      <c r="G7" s="32">
        <v>160604.97999999998</v>
      </c>
      <c r="H7" s="32">
        <v>202224.83000000007</v>
      </c>
      <c r="I7" s="32">
        <v>346195.18999999994</v>
      </c>
      <c r="J7" s="32">
        <v>151462.30000000005</v>
      </c>
      <c r="K7" s="32">
        <v>128195</v>
      </c>
      <c r="L7" s="32">
        <v>186803.92999999993</v>
      </c>
      <c r="M7" s="32">
        <v>218013.85000000009</v>
      </c>
      <c r="N7" s="32">
        <v>147972.54999999981</v>
      </c>
      <c r="O7" s="32">
        <f t="shared" si="0"/>
        <v>2381132.69</v>
      </c>
    </row>
    <row r="8" spans="1:15" x14ac:dyDescent="0.25">
      <c r="A8" s="31" t="s">
        <v>24</v>
      </c>
      <c r="B8" s="31" t="s">
        <v>25</v>
      </c>
      <c r="C8" s="32">
        <v>2019065.84</v>
      </c>
      <c r="D8" s="32">
        <v>2133471.6399999997</v>
      </c>
      <c r="E8" s="32">
        <v>2165229.31</v>
      </c>
      <c r="F8" s="32">
        <v>2181896.0599999996</v>
      </c>
      <c r="G8" s="32">
        <v>2335126.5099999998</v>
      </c>
      <c r="H8" s="32">
        <v>2201458.9000000004</v>
      </c>
      <c r="I8" s="32">
        <v>2321108.6300000008</v>
      </c>
      <c r="J8" s="32">
        <v>2284873.9199999981</v>
      </c>
      <c r="K8" s="32">
        <v>2127711.700000003</v>
      </c>
      <c r="L8" s="32">
        <v>2140092.5999999978</v>
      </c>
      <c r="M8" s="32">
        <v>2135636.2899999991</v>
      </c>
      <c r="N8" s="32">
        <v>2148084.9600000009</v>
      </c>
      <c r="O8" s="32">
        <f t="shared" si="0"/>
        <v>26193756.359999996</v>
      </c>
    </row>
    <row r="9" spans="1:15" x14ac:dyDescent="0.25">
      <c r="A9" s="31" t="s">
        <v>26</v>
      </c>
      <c r="B9" s="31" t="s">
        <v>27</v>
      </c>
      <c r="C9" s="32">
        <v>1105642.94</v>
      </c>
      <c r="D9" s="32">
        <v>1083845.1800000002</v>
      </c>
      <c r="E9" s="32">
        <v>1066805.4299999997</v>
      </c>
      <c r="F9" s="32">
        <v>1180128.8399999999</v>
      </c>
      <c r="G9" s="32">
        <v>1167648.8100000005</v>
      </c>
      <c r="H9" s="32">
        <v>1087104.6299999999</v>
      </c>
      <c r="I9" s="32">
        <v>1213890.1200000001</v>
      </c>
      <c r="J9" s="32">
        <v>1026301.4899999993</v>
      </c>
      <c r="K9" s="32">
        <v>1139322.42</v>
      </c>
      <c r="L9" s="32">
        <v>1093191.42</v>
      </c>
      <c r="M9" s="32">
        <v>1056028.3200000003</v>
      </c>
      <c r="N9" s="32">
        <v>1124571.92</v>
      </c>
      <c r="O9" s="32">
        <f t="shared" si="0"/>
        <v>13344481.52</v>
      </c>
    </row>
    <row r="10" spans="1:15" x14ac:dyDescent="0.25">
      <c r="A10" s="31" t="s">
        <v>28</v>
      </c>
      <c r="B10" s="31" t="s">
        <v>29</v>
      </c>
      <c r="C10" s="32">
        <v>-18540.59</v>
      </c>
      <c r="D10" s="32">
        <v>-15688.039999999997</v>
      </c>
      <c r="E10" s="32">
        <v>-11339.660000000003</v>
      </c>
      <c r="F10" s="32">
        <v>-12813.019999999997</v>
      </c>
      <c r="G10" s="32">
        <v>-14953.940000000002</v>
      </c>
      <c r="H10" s="32">
        <v>-14495.320000000007</v>
      </c>
      <c r="I10" s="32">
        <v>-27090.309999999998</v>
      </c>
      <c r="J10" s="32">
        <v>-15403.39</v>
      </c>
      <c r="K10" s="32">
        <v>-15717.449999999997</v>
      </c>
      <c r="L10" s="32">
        <v>-24727.130000000005</v>
      </c>
      <c r="M10" s="32">
        <v>-16627.78</v>
      </c>
      <c r="N10" s="32">
        <v>-12336.679999999993</v>
      </c>
      <c r="O10" s="32">
        <f t="shared" si="0"/>
        <v>-199733.31</v>
      </c>
    </row>
    <row r="11" spans="1:15" x14ac:dyDescent="0.25">
      <c r="A11" s="213" t="s">
        <v>12</v>
      </c>
      <c r="B11" s="213"/>
      <c r="C11" s="36">
        <f>SUM(C3:C10)</f>
        <v>8269888.4199999999</v>
      </c>
      <c r="D11" s="36">
        <f t="shared" ref="D11:O11" si="1">SUM(D3:D10)</f>
        <v>8749258.7300000004</v>
      </c>
      <c r="E11" s="36">
        <f t="shared" si="1"/>
        <v>8741376.370000001</v>
      </c>
      <c r="F11" s="36">
        <f t="shared" si="1"/>
        <v>8629893.6500000004</v>
      </c>
      <c r="G11" s="36">
        <f t="shared" si="1"/>
        <v>9109505.0200000014</v>
      </c>
      <c r="H11" s="36">
        <f t="shared" si="1"/>
        <v>8591174.1600000001</v>
      </c>
      <c r="I11" s="36">
        <f t="shared" si="1"/>
        <v>9260305.9800000023</v>
      </c>
      <c r="J11" s="36">
        <f t="shared" si="1"/>
        <v>8960139.3299999945</v>
      </c>
      <c r="K11" s="36">
        <f t="shared" si="1"/>
        <v>9078987.0000000037</v>
      </c>
      <c r="L11" s="36">
        <f t="shared" si="1"/>
        <v>8991948.6999999974</v>
      </c>
      <c r="M11" s="36">
        <f t="shared" si="1"/>
        <v>8810827.5899999999</v>
      </c>
      <c r="N11" s="36">
        <f t="shared" si="1"/>
        <v>9072677.0999999996</v>
      </c>
      <c r="O11" s="36">
        <f t="shared" si="1"/>
        <v>106265982.04999998</v>
      </c>
    </row>
    <row r="12" spans="1:15" x14ac:dyDescent="0.25">
      <c r="O12" s="1"/>
    </row>
    <row r="13" spans="1:15" x14ac:dyDescent="0.25">
      <c r="A13" s="211" t="s">
        <v>30</v>
      </c>
      <c r="B13" s="212"/>
      <c r="C13" s="33">
        <v>43466</v>
      </c>
      <c r="D13" s="33">
        <v>43497</v>
      </c>
      <c r="E13" s="33">
        <v>43525</v>
      </c>
      <c r="F13" s="33">
        <v>43556</v>
      </c>
      <c r="G13" s="33">
        <v>43586</v>
      </c>
      <c r="H13" s="33">
        <v>43617</v>
      </c>
      <c r="I13" s="33">
        <v>43647</v>
      </c>
      <c r="J13" s="33">
        <v>43678</v>
      </c>
      <c r="K13" s="33">
        <v>43709</v>
      </c>
      <c r="L13" s="33">
        <v>43739</v>
      </c>
      <c r="M13" s="33">
        <v>43770</v>
      </c>
      <c r="N13" s="33">
        <v>43800</v>
      </c>
      <c r="O13" s="34" t="s">
        <v>12</v>
      </c>
    </row>
    <row r="14" spans="1:15" x14ac:dyDescent="0.25">
      <c r="A14" s="31" t="s">
        <v>31</v>
      </c>
      <c r="B14" s="31" t="s">
        <v>15</v>
      </c>
      <c r="C14" s="32">
        <v>1030510.56</v>
      </c>
      <c r="D14" s="32">
        <v>766203.99</v>
      </c>
      <c r="E14" s="32">
        <v>981827.72</v>
      </c>
      <c r="F14" s="32">
        <v>1250933.3399999999</v>
      </c>
      <c r="G14" s="32">
        <v>986046.64000000013</v>
      </c>
      <c r="H14" s="32">
        <v>1414418.4800000004</v>
      </c>
      <c r="I14" s="32">
        <v>1216502.5699999994</v>
      </c>
      <c r="J14" s="32">
        <v>1972029.4400000004</v>
      </c>
      <c r="K14" s="32">
        <v>1635912.459999999</v>
      </c>
      <c r="L14" s="32">
        <v>1107498.2700000014</v>
      </c>
      <c r="M14" s="32">
        <v>1606339.5099999998</v>
      </c>
      <c r="N14" s="32">
        <v>1636976.3599999994</v>
      </c>
      <c r="O14" s="32">
        <f t="shared" ref="O14:O18" si="2">SUM(C14:N14)</f>
        <v>15605199.34</v>
      </c>
    </row>
    <row r="15" spans="1:15" x14ac:dyDescent="0.25">
      <c r="A15" s="31" t="s">
        <v>32</v>
      </c>
      <c r="B15" s="31" t="s">
        <v>33</v>
      </c>
      <c r="C15" s="32">
        <v>1070306.04</v>
      </c>
      <c r="D15" s="32">
        <v>1059199.6299999999</v>
      </c>
      <c r="E15" s="32">
        <v>1142515.8700000001</v>
      </c>
      <c r="F15" s="32">
        <v>1105479.67</v>
      </c>
      <c r="G15" s="32">
        <v>1097612.5700000003</v>
      </c>
      <c r="H15" s="32">
        <v>1053780.1799999997</v>
      </c>
      <c r="I15" s="32">
        <v>1136237.4000000004</v>
      </c>
      <c r="J15" s="32">
        <v>1099376.9400000004</v>
      </c>
      <c r="K15" s="32">
        <v>1120632.5099999998</v>
      </c>
      <c r="L15" s="32">
        <v>1161481.5299999993</v>
      </c>
      <c r="M15" s="32">
        <v>1137528.8599999994</v>
      </c>
      <c r="N15" s="32">
        <v>1243922.25</v>
      </c>
      <c r="O15" s="32">
        <f t="shared" si="2"/>
        <v>13428073.449999999</v>
      </c>
    </row>
    <row r="16" spans="1:15" x14ac:dyDescent="0.25">
      <c r="A16" s="31" t="s">
        <v>34</v>
      </c>
      <c r="B16" s="31" t="s">
        <v>35</v>
      </c>
      <c r="C16" s="32">
        <v>2848.21</v>
      </c>
      <c r="D16" s="32">
        <v>4048.92</v>
      </c>
      <c r="E16" s="32">
        <v>22324.86</v>
      </c>
      <c r="F16" s="32">
        <v>5593.9200000000019</v>
      </c>
      <c r="G16" s="32">
        <v>8958.5599999999977</v>
      </c>
      <c r="H16" s="32">
        <v>9252.43</v>
      </c>
      <c r="I16" s="32">
        <v>4816.0999999999985</v>
      </c>
      <c r="J16" s="32">
        <v>6120.510000000002</v>
      </c>
      <c r="K16" s="32">
        <v>9579.2499999999927</v>
      </c>
      <c r="L16" s="32">
        <v>8028.1500000000087</v>
      </c>
      <c r="M16" s="32">
        <v>4276.3600000000006</v>
      </c>
      <c r="N16" s="32">
        <v>8357.0699999999924</v>
      </c>
      <c r="O16" s="32">
        <f t="shared" si="2"/>
        <v>94204.34</v>
      </c>
    </row>
    <row r="17" spans="1:15" x14ac:dyDescent="0.25">
      <c r="A17" s="31" t="s">
        <v>36</v>
      </c>
      <c r="B17" s="31" t="s">
        <v>23</v>
      </c>
      <c r="C17" s="32">
        <v>319369.96000000002</v>
      </c>
      <c r="D17" s="32">
        <v>255341.32</v>
      </c>
      <c r="E17" s="32">
        <v>168995.31999999995</v>
      </c>
      <c r="F17" s="32">
        <v>340963.46000000008</v>
      </c>
      <c r="G17" s="32">
        <v>170552.01</v>
      </c>
      <c r="H17" s="32">
        <v>164991.42999999993</v>
      </c>
      <c r="I17" s="32">
        <v>176683.04000000004</v>
      </c>
      <c r="J17" s="32">
        <v>274549.82000000007</v>
      </c>
      <c r="K17" s="32">
        <v>183012.62999999989</v>
      </c>
      <c r="L17" s="32">
        <v>373937.32999999984</v>
      </c>
      <c r="M17" s="32">
        <v>262853.20000000019</v>
      </c>
      <c r="N17" s="32">
        <v>338545.35000000009</v>
      </c>
      <c r="O17" s="32">
        <f t="shared" si="2"/>
        <v>3029794.87</v>
      </c>
    </row>
    <row r="18" spans="1:15" x14ac:dyDescent="0.25">
      <c r="A18" s="31" t="s">
        <v>37</v>
      </c>
      <c r="B18" s="31" t="s">
        <v>27</v>
      </c>
      <c r="C18" s="32">
        <v>167478.99</v>
      </c>
      <c r="D18" s="32">
        <v>182482.91999999998</v>
      </c>
      <c r="E18" s="32">
        <v>187526.99000000005</v>
      </c>
      <c r="F18" s="32">
        <v>246793.75</v>
      </c>
      <c r="G18" s="32">
        <v>180335.47999999998</v>
      </c>
      <c r="H18" s="32">
        <v>220093.03999999992</v>
      </c>
      <c r="I18" s="32">
        <v>204478.71999999997</v>
      </c>
      <c r="J18" s="32">
        <v>196823.79000000004</v>
      </c>
      <c r="K18" s="32">
        <v>221185.22999999998</v>
      </c>
      <c r="L18" s="32">
        <v>286877.01</v>
      </c>
      <c r="M18" s="32">
        <v>195412.29000000004</v>
      </c>
      <c r="N18" s="32">
        <v>250098.10000000009</v>
      </c>
      <c r="O18" s="32">
        <f t="shared" si="2"/>
        <v>2539586.31</v>
      </c>
    </row>
    <row r="19" spans="1:15" x14ac:dyDescent="0.25">
      <c r="A19" s="31" t="s">
        <v>38</v>
      </c>
      <c r="B19" s="31" t="s">
        <v>39</v>
      </c>
      <c r="C19" s="32">
        <v>0</v>
      </c>
      <c r="D19" s="32">
        <v>0</v>
      </c>
      <c r="E19" s="32">
        <v>1412481.63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723644.33000000007</v>
      </c>
      <c r="L19" s="32">
        <v>0</v>
      </c>
      <c r="M19" s="32">
        <v>0</v>
      </c>
      <c r="N19" s="32">
        <v>0</v>
      </c>
      <c r="O19" s="32">
        <f>SUM(C19:N19)</f>
        <v>2136125.96</v>
      </c>
    </row>
    <row r="20" spans="1:15" x14ac:dyDescent="0.25">
      <c r="A20" s="213" t="s">
        <v>12</v>
      </c>
      <c r="B20" s="213"/>
      <c r="C20" s="36">
        <f>SUM(C14:C19)</f>
        <v>2590513.7599999998</v>
      </c>
      <c r="D20" s="36">
        <f t="shared" ref="D20:N20" si="3">SUM(D14:D19)</f>
        <v>2267276.7799999998</v>
      </c>
      <c r="E20" s="36">
        <f t="shared" si="3"/>
        <v>3915672.3899999997</v>
      </c>
      <c r="F20" s="36">
        <f t="shared" si="3"/>
        <v>2949764.1399999997</v>
      </c>
      <c r="G20" s="36">
        <f t="shared" si="3"/>
        <v>2443505.2600000002</v>
      </c>
      <c r="H20" s="36">
        <f t="shared" si="3"/>
        <v>2862535.5600000005</v>
      </c>
      <c r="I20" s="36">
        <f t="shared" si="3"/>
        <v>2738717.83</v>
      </c>
      <c r="J20" s="36">
        <f t="shared" si="3"/>
        <v>3548900.5000000009</v>
      </c>
      <c r="K20" s="36">
        <f t="shared" si="3"/>
        <v>3893966.4099999988</v>
      </c>
      <c r="L20" s="36">
        <f t="shared" si="3"/>
        <v>2937822.29</v>
      </c>
      <c r="M20" s="36">
        <f t="shared" si="3"/>
        <v>3206410.2199999993</v>
      </c>
      <c r="N20" s="36">
        <f t="shared" si="3"/>
        <v>3477899.1299999994</v>
      </c>
      <c r="O20" s="36">
        <f>SUM(O14:O19)</f>
        <v>36832984.270000003</v>
      </c>
    </row>
    <row r="21" spans="1:15" x14ac:dyDescent="0.25">
      <c r="O21" s="1"/>
    </row>
    <row r="22" spans="1:15" x14ac:dyDescent="0.25">
      <c r="A22" s="211" t="s">
        <v>40</v>
      </c>
      <c r="B22" s="212"/>
      <c r="C22" s="33">
        <v>43466</v>
      </c>
      <c r="D22" s="33">
        <v>43497</v>
      </c>
      <c r="E22" s="33">
        <v>43525</v>
      </c>
      <c r="F22" s="33">
        <v>43556</v>
      </c>
      <c r="G22" s="33">
        <v>43586</v>
      </c>
      <c r="H22" s="33">
        <v>43617</v>
      </c>
      <c r="I22" s="33">
        <v>43647</v>
      </c>
      <c r="J22" s="33">
        <v>43678</v>
      </c>
      <c r="K22" s="33">
        <v>43709</v>
      </c>
      <c r="L22" s="33">
        <v>43739</v>
      </c>
      <c r="M22" s="33">
        <v>43770</v>
      </c>
      <c r="N22" s="33">
        <v>43800</v>
      </c>
      <c r="O22" s="34" t="s">
        <v>12</v>
      </c>
    </row>
    <row r="23" spans="1:15" x14ac:dyDescent="0.25">
      <c r="A23" s="31" t="s">
        <v>41</v>
      </c>
      <c r="B23" s="31" t="s">
        <v>42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>SUM(C23:N23)</f>
        <v>0</v>
      </c>
    </row>
    <row r="24" spans="1:15" x14ac:dyDescent="0.25">
      <c r="A24" s="31" t="s">
        <v>43</v>
      </c>
      <c r="B24" s="31" t="s">
        <v>44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ref="O24:O32" si="4">SUM(C24:N24)</f>
        <v>0</v>
      </c>
    </row>
    <row r="25" spans="1:15" x14ac:dyDescent="0.25">
      <c r="A25" s="31" t="s">
        <v>45</v>
      </c>
      <c r="B25" s="31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4"/>
        <v>0</v>
      </c>
    </row>
    <row r="26" spans="1:15" x14ac:dyDescent="0.25">
      <c r="A26" s="31" t="s">
        <v>47</v>
      </c>
      <c r="B26" s="31" t="s">
        <v>48</v>
      </c>
      <c r="C26" s="32">
        <v>1520412.74</v>
      </c>
      <c r="D26" s="32">
        <v>1461089.5999999999</v>
      </c>
      <c r="E26" s="32">
        <v>1411097.6000000006</v>
      </c>
      <c r="F26" s="32">
        <v>1484079.8099999996</v>
      </c>
      <c r="G26" s="32">
        <v>1458884.7999999998</v>
      </c>
      <c r="H26" s="32">
        <v>1541656.0000000009</v>
      </c>
      <c r="I26" s="32">
        <v>1481179.1999999993</v>
      </c>
      <c r="J26" s="32">
        <v>1557755.1999999993</v>
      </c>
      <c r="K26" s="32">
        <v>1574177.6000000015</v>
      </c>
      <c r="L26" s="32">
        <v>1545320</v>
      </c>
      <c r="M26" s="32">
        <v>1675676.7999999989</v>
      </c>
      <c r="N26" s="32">
        <v>1668852.7999999989</v>
      </c>
      <c r="O26" s="32">
        <f t="shared" si="4"/>
        <v>18380182.149999999</v>
      </c>
    </row>
    <row r="27" spans="1:15" x14ac:dyDescent="0.25">
      <c r="A27" s="31" t="s">
        <v>49</v>
      </c>
      <c r="B27" s="31" t="s">
        <v>50</v>
      </c>
      <c r="C27" s="32">
        <v>9499.2800000000007</v>
      </c>
      <c r="D27" s="32">
        <v>3604.7799999999988</v>
      </c>
      <c r="E27" s="32">
        <v>4413.74</v>
      </c>
      <c r="F27" s="32">
        <v>4438.0800000000017</v>
      </c>
      <c r="G27" s="32">
        <v>5070.5599999999977</v>
      </c>
      <c r="H27" s="32">
        <v>3373.2800000000025</v>
      </c>
      <c r="I27" s="32">
        <v>4262.1199999999953</v>
      </c>
      <c r="J27" s="32">
        <v>4468.4700000000012</v>
      </c>
      <c r="K27" s="32">
        <v>3327.8600000000006</v>
      </c>
      <c r="L27" s="32">
        <v>2476.8600000000006</v>
      </c>
      <c r="M27" s="32">
        <v>1960.4199999999983</v>
      </c>
      <c r="N27" s="32">
        <v>3076.8899999999994</v>
      </c>
      <c r="O27" s="32">
        <f t="shared" si="4"/>
        <v>49972.34</v>
      </c>
    </row>
    <row r="28" spans="1:15" x14ac:dyDescent="0.25">
      <c r="A28" s="31" t="s">
        <v>51</v>
      </c>
      <c r="B28" s="31" t="s">
        <v>52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15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f t="shared" si="4"/>
        <v>15</v>
      </c>
    </row>
    <row r="29" spans="1:15" x14ac:dyDescent="0.25">
      <c r="A29" s="31" t="s">
        <v>53</v>
      </c>
      <c r="B29" s="31" t="s">
        <v>54</v>
      </c>
      <c r="C29" s="32">
        <v>10248.17</v>
      </c>
      <c r="D29" s="32">
        <v>163.39999999999964</v>
      </c>
      <c r="E29" s="32">
        <v>2271.9799999999996</v>
      </c>
      <c r="F29" s="32">
        <v>42509.289999999994</v>
      </c>
      <c r="G29" s="32">
        <v>23816.740000000005</v>
      </c>
      <c r="H29" s="32">
        <v>19643</v>
      </c>
      <c r="I29" s="32">
        <v>10843</v>
      </c>
      <c r="J29" s="32">
        <v>8870.179999999993</v>
      </c>
      <c r="K29" s="32">
        <v>59535.759999999995</v>
      </c>
      <c r="L29" s="32">
        <v>10593.98000000001</v>
      </c>
      <c r="M29" s="32">
        <v>6174.0499999999884</v>
      </c>
      <c r="N29" s="32">
        <v>31773.860000000015</v>
      </c>
      <c r="O29" s="32">
        <f t="shared" si="4"/>
        <v>226443.41</v>
      </c>
    </row>
    <row r="30" spans="1:15" x14ac:dyDescent="0.25">
      <c r="A30" s="31" t="s">
        <v>55</v>
      </c>
      <c r="B30" s="31" t="s">
        <v>56</v>
      </c>
      <c r="C30" s="32">
        <v>70071.31</v>
      </c>
      <c r="D30" s="32">
        <v>15901.830000000002</v>
      </c>
      <c r="E30" s="32">
        <v>30877.869999999995</v>
      </c>
      <c r="F30" s="32">
        <v>15901.830000000002</v>
      </c>
      <c r="G30" s="32">
        <v>54720.130000000005</v>
      </c>
      <c r="H30" s="32">
        <v>41187.010000000009</v>
      </c>
      <c r="I30" s="32">
        <v>47494.73000000001</v>
      </c>
      <c r="J30" s="32">
        <v>47953.570000000007</v>
      </c>
      <c r="K30" s="32">
        <v>22668.389999999956</v>
      </c>
      <c r="L30" s="32">
        <v>22668.330000000016</v>
      </c>
      <c r="M30" s="32">
        <v>199634.65000000002</v>
      </c>
      <c r="N30" s="32">
        <v>54876.150000000023</v>
      </c>
      <c r="O30" s="32">
        <f t="shared" si="4"/>
        <v>623955.80000000005</v>
      </c>
    </row>
    <row r="31" spans="1:15" x14ac:dyDescent="0.25">
      <c r="A31" s="31" t="s">
        <v>57</v>
      </c>
      <c r="B31" s="31" t="s">
        <v>58</v>
      </c>
      <c r="C31" s="32">
        <v>350000</v>
      </c>
      <c r="D31" s="32">
        <v>350000</v>
      </c>
      <c r="E31" s="32">
        <v>350000</v>
      </c>
      <c r="F31" s="32">
        <v>350000</v>
      </c>
      <c r="G31" s="32">
        <v>350000</v>
      </c>
      <c r="H31" s="32">
        <v>350000</v>
      </c>
      <c r="I31" s="32">
        <v>350000</v>
      </c>
      <c r="J31" s="32">
        <v>350000</v>
      </c>
      <c r="K31" s="32">
        <v>350000</v>
      </c>
      <c r="L31" s="32">
        <v>350000</v>
      </c>
      <c r="M31" s="32">
        <v>350000</v>
      </c>
      <c r="N31" s="32">
        <v>350000</v>
      </c>
      <c r="O31" s="32">
        <f t="shared" si="4"/>
        <v>4200000</v>
      </c>
    </row>
    <row r="32" spans="1:15" x14ac:dyDescent="0.25">
      <c r="A32" s="31" t="s">
        <v>59</v>
      </c>
      <c r="B32" s="31" t="s">
        <v>60</v>
      </c>
      <c r="C32" s="32">
        <v>4890.8500000000004</v>
      </c>
      <c r="D32" s="32">
        <v>10330.949999999999</v>
      </c>
      <c r="E32" s="32">
        <v>13094.850000000002</v>
      </c>
      <c r="F32" s="32">
        <v>8199.93</v>
      </c>
      <c r="G32" s="32">
        <v>22501.019999999997</v>
      </c>
      <c r="H32" s="32">
        <v>3755.3899999999994</v>
      </c>
      <c r="I32" s="32">
        <v>6477.1400000000067</v>
      </c>
      <c r="J32" s="32">
        <v>4469.8300000000017</v>
      </c>
      <c r="K32" s="32">
        <v>6502.1499999999942</v>
      </c>
      <c r="L32" s="32">
        <v>312797.86</v>
      </c>
      <c r="M32" s="32">
        <v>20864.940000000002</v>
      </c>
      <c r="N32" s="32">
        <v>5123.7200000000303</v>
      </c>
      <c r="O32" s="32">
        <f t="shared" si="4"/>
        <v>419008.63</v>
      </c>
    </row>
    <row r="33" spans="1:15" x14ac:dyDescent="0.25">
      <c r="A33" s="213" t="s">
        <v>12</v>
      </c>
      <c r="B33" s="213"/>
      <c r="C33" s="36">
        <f>SUM(C23:C32)</f>
        <v>1965122.35</v>
      </c>
      <c r="D33" s="36">
        <f t="shared" ref="D33:N33" si="5">SUM(D23:D32)</f>
        <v>1841090.5599999998</v>
      </c>
      <c r="E33" s="36">
        <f t="shared" si="5"/>
        <v>1811756.0400000005</v>
      </c>
      <c r="F33" s="36">
        <f t="shared" si="5"/>
        <v>1905128.9399999997</v>
      </c>
      <c r="G33" s="36">
        <f t="shared" si="5"/>
        <v>1914993.25</v>
      </c>
      <c r="H33" s="36">
        <f t="shared" si="5"/>
        <v>1959614.6800000009</v>
      </c>
      <c r="I33" s="36">
        <f t="shared" si="5"/>
        <v>1900271.1899999992</v>
      </c>
      <c r="J33" s="36">
        <f t="shared" si="5"/>
        <v>1973517.2499999993</v>
      </c>
      <c r="K33" s="36">
        <f t="shared" si="5"/>
        <v>2016211.7600000014</v>
      </c>
      <c r="L33" s="36">
        <f t="shared" si="5"/>
        <v>2243857.0300000003</v>
      </c>
      <c r="M33" s="36">
        <f t="shared" si="5"/>
        <v>2254310.8599999989</v>
      </c>
      <c r="N33" s="36">
        <f t="shared" si="5"/>
        <v>2113703.419999999</v>
      </c>
      <c r="O33" s="36">
        <f>SUM(O23:O32)</f>
        <v>23899577.329999998</v>
      </c>
    </row>
    <row r="34" spans="1:15" x14ac:dyDescent="0.25">
      <c r="O34" s="1"/>
    </row>
    <row r="35" spans="1:15" x14ac:dyDescent="0.25">
      <c r="A35" s="211" t="s">
        <v>61</v>
      </c>
      <c r="B35" s="212"/>
      <c r="C35" s="33">
        <v>43466</v>
      </c>
      <c r="D35" s="33">
        <v>43497</v>
      </c>
      <c r="E35" s="33">
        <v>43525</v>
      </c>
      <c r="F35" s="33">
        <v>43556</v>
      </c>
      <c r="G35" s="33">
        <v>43586</v>
      </c>
      <c r="H35" s="33">
        <v>43617</v>
      </c>
      <c r="I35" s="33">
        <v>43647</v>
      </c>
      <c r="J35" s="33">
        <v>43678</v>
      </c>
      <c r="K35" s="33">
        <v>43709</v>
      </c>
      <c r="L35" s="33">
        <v>43739</v>
      </c>
      <c r="M35" s="33">
        <v>43770</v>
      </c>
      <c r="N35" s="33">
        <v>43800</v>
      </c>
      <c r="O35" s="34" t="s">
        <v>12</v>
      </c>
    </row>
    <row r="36" spans="1:15" x14ac:dyDescent="0.25">
      <c r="A36" s="31" t="s">
        <v>62</v>
      </c>
      <c r="B36" s="31" t="s">
        <v>63</v>
      </c>
      <c r="C36" s="32">
        <v>1039550.02</v>
      </c>
      <c r="D36" s="32">
        <v>1188816.8999999999</v>
      </c>
      <c r="E36" s="32">
        <v>938248.41000000015</v>
      </c>
      <c r="F36" s="32">
        <v>1235229.2599999998</v>
      </c>
      <c r="G36" s="32">
        <v>3196748.75</v>
      </c>
      <c r="H36" s="32">
        <v>1787384.6500000004</v>
      </c>
      <c r="I36" s="32">
        <v>1429986.5999999996</v>
      </c>
      <c r="J36" s="32">
        <v>1390204.290000001</v>
      </c>
      <c r="K36" s="32">
        <v>941547.14999999851</v>
      </c>
      <c r="L36" s="32">
        <v>1863609.6800000016</v>
      </c>
      <c r="M36" s="32">
        <v>2143303.5999999978</v>
      </c>
      <c r="N36" s="32">
        <v>1566257.1900000013</v>
      </c>
      <c r="O36" s="32">
        <f>SUM(C36:N36)</f>
        <v>18720886.5</v>
      </c>
    </row>
    <row r="37" spans="1:15" x14ac:dyDescent="0.25">
      <c r="A37" s="31" t="s">
        <v>64</v>
      </c>
      <c r="B37" s="31" t="s">
        <v>65</v>
      </c>
      <c r="C37" s="32">
        <v>0</v>
      </c>
      <c r="D37" s="32">
        <v>0</v>
      </c>
      <c r="E37" s="32">
        <v>0</v>
      </c>
      <c r="F37" s="32">
        <v>0</v>
      </c>
      <c r="G37" s="32">
        <v>40356.35</v>
      </c>
      <c r="H37" s="32">
        <v>0</v>
      </c>
      <c r="I37" s="32">
        <v>0</v>
      </c>
      <c r="J37" s="32">
        <v>10000</v>
      </c>
      <c r="K37" s="32">
        <v>61352.73</v>
      </c>
      <c r="L37" s="32">
        <v>0</v>
      </c>
      <c r="M37" s="32">
        <v>11020.240000000005</v>
      </c>
      <c r="N37" s="32">
        <v>0</v>
      </c>
      <c r="O37" s="32">
        <f>SUM(C37:N37)</f>
        <v>122729.32</v>
      </c>
    </row>
    <row r="38" spans="1:15" x14ac:dyDescent="0.25">
      <c r="A38" s="31" t="s">
        <v>66</v>
      </c>
      <c r="B38" s="31" t="s">
        <v>67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>SUM(C38:N38)</f>
        <v>0</v>
      </c>
    </row>
    <row r="39" spans="1:15" x14ac:dyDescent="0.25">
      <c r="A39" s="31" t="s">
        <v>68</v>
      </c>
      <c r="B39" s="31" t="s">
        <v>69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>SUM(C39:N39)</f>
        <v>0</v>
      </c>
    </row>
    <row r="40" spans="1:15" x14ac:dyDescent="0.25">
      <c r="A40" s="31" t="s">
        <v>70</v>
      </c>
      <c r="B40" s="31" t="s">
        <v>71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255312</v>
      </c>
      <c r="M40" s="32">
        <v>233597.55</v>
      </c>
      <c r="N40" s="32">
        <v>0</v>
      </c>
      <c r="O40" s="32">
        <f>SUM(C40:N40)</f>
        <v>488909.55</v>
      </c>
    </row>
    <row r="41" spans="1:15" x14ac:dyDescent="0.25">
      <c r="A41" s="213" t="s">
        <v>12</v>
      </c>
      <c r="B41" s="213"/>
      <c r="C41" s="36">
        <f>SUM(C36:C40)</f>
        <v>1039550.02</v>
      </c>
      <c r="D41" s="36">
        <f>SUM(D36:D40)</f>
        <v>1188816.8999999999</v>
      </c>
      <c r="E41" s="36">
        <f>SUM(E36:E40)</f>
        <v>938248.41000000015</v>
      </c>
      <c r="F41" s="36">
        <f>SUM(F36:F40)</f>
        <v>1235229.2599999998</v>
      </c>
      <c r="G41" s="36">
        <f t="shared" ref="G41:N41" si="6">SUM(G36:G40)</f>
        <v>3237105.1</v>
      </c>
      <c r="H41" s="36">
        <f t="shared" si="6"/>
        <v>1787384.6500000004</v>
      </c>
      <c r="I41" s="36">
        <f t="shared" si="6"/>
        <v>1429986.5999999996</v>
      </c>
      <c r="J41" s="36">
        <f t="shared" si="6"/>
        <v>1400204.290000001</v>
      </c>
      <c r="K41" s="36">
        <f t="shared" si="6"/>
        <v>1002899.8799999985</v>
      </c>
      <c r="L41" s="36">
        <f t="shared" si="6"/>
        <v>2118921.6800000016</v>
      </c>
      <c r="M41" s="36">
        <f t="shared" si="6"/>
        <v>2387921.3899999978</v>
      </c>
      <c r="N41" s="36">
        <f t="shared" si="6"/>
        <v>1566257.1900000013</v>
      </c>
      <c r="O41" s="36">
        <f>SUM(O36:O40)</f>
        <v>19332525.370000001</v>
      </c>
    </row>
    <row r="42" spans="1:15" x14ac:dyDescent="0.25">
      <c r="A42" s="1" t="s">
        <v>250</v>
      </c>
    </row>
  </sheetData>
  <mergeCells count="8">
    <mergeCell ref="A35:B35"/>
    <mergeCell ref="A41:B41"/>
    <mergeCell ref="A2:B2"/>
    <mergeCell ref="A11:B11"/>
    <mergeCell ref="A13:B13"/>
    <mergeCell ref="A20:B20"/>
    <mergeCell ref="A22:B22"/>
    <mergeCell ref="A33:B3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8"/>
  <sheetViews>
    <sheetView zoomScale="70" zoomScaleNormal="70" workbookViewId="0">
      <selection sqref="A1:N1"/>
    </sheetView>
  </sheetViews>
  <sheetFormatPr defaultRowHeight="15" x14ac:dyDescent="0.25"/>
  <cols>
    <col min="1" max="1" width="67.5703125" style="76" customWidth="1"/>
    <col min="2" max="7" width="21.42578125" style="76" customWidth="1"/>
    <col min="8" max="8" width="22.5703125" style="76" customWidth="1"/>
    <col min="9" max="11" width="21.42578125" style="76" customWidth="1"/>
    <col min="12" max="12" width="22.140625" style="145" customWidth="1"/>
    <col min="13" max="13" width="21.42578125" style="145" customWidth="1"/>
    <col min="14" max="14" width="23.85546875" style="146" bestFit="1" customWidth="1"/>
    <col min="15" max="16384" width="9.140625" style="76"/>
  </cols>
  <sheetData>
    <row r="1" spans="1:14" x14ac:dyDescent="0.25">
      <c r="A1" s="216" t="s">
        <v>210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9.25" customHeight="1" thickBot="1" x14ac:dyDescent="0.3">
      <c r="A2" s="217" t="s">
        <v>118</v>
      </c>
      <c r="B2" s="219" t="s">
        <v>119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7" customFormat="1" ht="15" customHeight="1" thickTop="1" x14ac:dyDescent="0.25">
      <c r="A3" s="218"/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  <c r="G3" s="3" t="s">
        <v>93</v>
      </c>
      <c r="H3" s="3" t="s">
        <v>94</v>
      </c>
      <c r="I3" s="3" t="s">
        <v>95</v>
      </c>
      <c r="J3" s="3" t="s">
        <v>96</v>
      </c>
      <c r="K3" s="3" t="s">
        <v>97</v>
      </c>
      <c r="L3" s="3" t="s">
        <v>98</v>
      </c>
      <c r="M3" s="3" t="s">
        <v>99</v>
      </c>
      <c r="N3" s="3" t="s">
        <v>88</v>
      </c>
    </row>
    <row r="4" spans="1:14" s="77" customFormat="1" ht="14.1" customHeight="1" x14ac:dyDescent="0.25">
      <c r="A4" s="78" t="s">
        <v>158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1"/>
      <c r="N4" s="82"/>
    </row>
    <row r="5" spans="1:14" s="77" customFormat="1" ht="14.1" customHeight="1" x14ac:dyDescent="0.25">
      <c r="A5" s="83" t="s">
        <v>159</v>
      </c>
      <c r="B5" s="84">
        <v>214600852.94</v>
      </c>
      <c r="C5" s="84">
        <f>403011122.75-214600852.94</f>
        <v>188410269.81</v>
      </c>
      <c r="D5" s="84">
        <f>613270099.18-403011122.75</f>
        <v>210258976.42999995</v>
      </c>
      <c r="E5" s="84">
        <f>803123466.39-613270099.18</f>
        <v>189853367.21000004</v>
      </c>
      <c r="F5" s="84">
        <f>1003543712.94-803123466.39</f>
        <v>200420246.55000007</v>
      </c>
      <c r="G5" s="84">
        <f>1207285317.29-1003543712.94</f>
        <v>203741604.3499999</v>
      </c>
      <c r="H5" s="84">
        <f>1429094936.93-1207285317.29</f>
        <v>221809619.6400001</v>
      </c>
      <c r="I5" s="84">
        <f>1646254984.76-1429094936.93</f>
        <v>217160047.82999992</v>
      </c>
      <c r="J5" s="84">
        <f>1866931980.99-1646254984.76</f>
        <v>220676996.23000002</v>
      </c>
      <c r="K5" s="84">
        <f>2092906417.14-1866931980.99</f>
        <v>225974436.1500001</v>
      </c>
      <c r="L5" s="84">
        <f>2302582261.56-2092906417.14</f>
        <v>209675844.41999984</v>
      </c>
      <c r="M5" s="84">
        <f>2532782195.53-2302582261.56</f>
        <v>230199933.97000027</v>
      </c>
      <c r="N5" s="85">
        <f>SUM(B5:M5)</f>
        <v>2532782195.5300002</v>
      </c>
    </row>
    <row r="6" spans="1:14" s="77" customFormat="1" ht="14.1" customHeight="1" x14ac:dyDescent="0.25">
      <c r="A6" s="83" t="s">
        <v>160</v>
      </c>
      <c r="B6" s="84">
        <v>8515155.0500000007</v>
      </c>
      <c r="C6" s="84">
        <f>16629976.74-8515155.05</f>
        <v>8114821.6899999995</v>
      </c>
      <c r="D6" s="84">
        <f>25271633.42-16629976.74</f>
        <v>8641656.6800000016</v>
      </c>
      <c r="E6" s="84">
        <f>33582133.89-25271633.42</f>
        <v>8310500.4699999988</v>
      </c>
      <c r="F6" s="84">
        <f>41959306.24-33582133.89</f>
        <v>8377172.3500000015</v>
      </c>
      <c r="G6" s="84">
        <f>49760615.09-41959306.24</f>
        <v>7801308.8500000015</v>
      </c>
      <c r="H6" s="84">
        <f>58086013.32-49760615.09</f>
        <v>8325398.2299999967</v>
      </c>
      <c r="I6" s="84">
        <f>66425667.48-58086013.32</f>
        <v>8339654.1599999964</v>
      </c>
      <c r="J6" s="84">
        <f>74958485.85-66425667.48</f>
        <v>8532818.3699999973</v>
      </c>
      <c r="K6" s="84">
        <f>83637005.15-74958485.85</f>
        <v>8678519.3000000119</v>
      </c>
      <c r="L6" s="84">
        <f>91670837.13-83637005.15</f>
        <v>8033831.9799999893</v>
      </c>
      <c r="M6" s="84">
        <f>100364040.47-91670837.13</f>
        <v>8693203.3400000036</v>
      </c>
      <c r="N6" s="85">
        <f>SUM(B6:M6)</f>
        <v>100364040.47</v>
      </c>
    </row>
    <row r="7" spans="1:14" s="77" customFormat="1" ht="14.1" customHeight="1" x14ac:dyDescent="0.25">
      <c r="A7" s="86" t="s">
        <v>161</v>
      </c>
      <c r="B7" s="84">
        <v>538578.11</v>
      </c>
      <c r="C7" s="84">
        <f>1146815.3-538578.11</f>
        <v>608237.19000000006</v>
      </c>
      <c r="D7" s="84">
        <f>1738651.8-1146815.3</f>
        <v>591836.5</v>
      </c>
      <c r="E7" s="84">
        <v>583630.69999999995</v>
      </c>
      <c r="F7" s="84">
        <f>2904469.51-2322282.5</f>
        <v>582187.00999999978</v>
      </c>
      <c r="G7" s="84">
        <f>3485984.69-2904469.51</f>
        <v>581515.18000000017</v>
      </c>
      <c r="H7" s="84">
        <f>4064580.37-3485984.69</f>
        <v>578595.68000000017</v>
      </c>
      <c r="I7" s="84">
        <f>4653430.02-4064580.37</f>
        <v>588849.64999999944</v>
      </c>
      <c r="J7" s="84">
        <f>5236941.37-4653430.02</f>
        <v>583511.35000000056</v>
      </c>
      <c r="K7" s="84">
        <f>5815319.02-5236941.37</f>
        <v>578377.64999999944</v>
      </c>
      <c r="L7" s="84">
        <f>6389206.58-5815319.02</f>
        <v>573887.56000000052</v>
      </c>
      <c r="M7" s="84">
        <f>6964603.56-6389206.58</f>
        <v>575396.97999999952</v>
      </c>
      <c r="N7" s="85">
        <f t="shared" ref="N7:N13" si="0">SUM(B7:M7)</f>
        <v>6964603.5599999996</v>
      </c>
    </row>
    <row r="8" spans="1:14" s="77" customFormat="1" ht="14.1" customHeight="1" x14ac:dyDescent="0.25">
      <c r="A8" s="83" t="s">
        <v>162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5">
        <f t="shared" si="0"/>
        <v>0</v>
      </c>
    </row>
    <row r="9" spans="1:14" s="77" customFormat="1" ht="14.1" customHeight="1" x14ac:dyDescent="0.25">
      <c r="A9" s="83" t="s">
        <v>163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f t="shared" si="0"/>
        <v>0</v>
      </c>
    </row>
    <row r="10" spans="1:14" s="77" customFormat="1" ht="14.1" customHeight="1" x14ac:dyDescent="0.25">
      <c r="A10" s="83" t="s">
        <v>164</v>
      </c>
      <c r="B10" s="84">
        <v>119109104.05</v>
      </c>
      <c r="C10" s="84">
        <f>225026989.81-119109104.05</f>
        <v>105917885.76000001</v>
      </c>
      <c r="D10" s="84">
        <f>342579680.44-225026989.81</f>
        <v>117552690.63</v>
      </c>
      <c r="E10" s="84">
        <f>450011309.98-342579680.44</f>
        <v>107431629.54000002</v>
      </c>
      <c r="F10" s="84">
        <f>564644919.51-450011309.98</f>
        <v>114633609.52999997</v>
      </c>
      <c r="G10" s="84">
        <f>682143650.32-564644919.51</f>
        <v>117498730.81000006</v>
      </c>
      <c r="H10" s="84">
        <f>809699457.61-682143650.32</f>
        <v>127555807.28999996</v>
      </c>
      <c r="I10" s="84">
        <f>934027928.28-809699457.61</f>
        <v>124328470.66999996</v>
      </c>
      <c r="J10" s="84">
        <f>1060559586.36-934027928.28</f>
        <v>126531658.08000004</v>
      </c>
      <c r="K10" s="84">
        <f>1190528389.88-1060559586.36</f>
        <v>129968803.5200001</v>
      </c>
      <c r="L10" s="84">
        <f>1311779909.76-1190528389.88</f>
        <v>121251519.87999988</v>
      </c>
      <c r="M10" s="84">
        <f>1444455746.77-1311779909.76</f>
        <v>132675837.00999999</v>
      </c>
      <c r="N10" s="85">
        <f t="shared" si="0"/>
        <v>1444455746.77</v>
      </c>
    </row>
    <row r="11" spans="1:14" s="77" customFormat="1" ht="14.1" customHeight="1" x14ac:dyDescent="0.25">
      <c r="A11" s="83" t="s">
        <v>165</v>
      </c>
      <c r="B11" s="84">
        <v>2229547.7599999998</v>
      </c>
      <c r="C11" s="84">
        <f>4283713.89-2229547.76</f>
        <v>2054166.13</v>
      </c>
      <c r="D11" s="84">
        <f>6807575.26-4283713.89</f>
        <v>2523861.37</v>
      </c>
      <c r="E11" s="84">
        <f>9184579.79-6807575.26</f>
        <v>2377004.5299999993</v>
      </c>
      <c r="F11" s="84">
        <f>11937725.18-9184579.79</f>
        <v>2753145.3900000006</v>
      </c>
      <c r="G11" s="84">
        <f>14349148.32-11937725.18</f>
        <v>2411423.1400000006</v>
      </c>
      <c r="H11" s="84">
        <f>16687466.71-14349148.32</f>
        <v>2338318.3900000006</v>
      </c>
      <c r="I11" s="84">
        <f>19063656.65-16687466.71</f>
        <v>2376189.9399999976</v>
      </c>
      <c r="J11" s="84">
        <f>22323517.68-19063656.65</f>
        <v>3259861.0300000012</v>
      </c>
      <c r="K11" s="84">
        <f>25542102.35-22323517.68</f>
        <v>3218584.6700000018</v>
      </c>
      <c r="L11" s="84">
        <f>28214204.34-25542102.35</f>
        <v>2672101.9899999984</v>
      </c>
      <c r="M11" s="84">
        <f>31286183.34-28214204.34</f>
        <v>3071979</v>
      </c>
      <c r="N11" s="85">
        <f t="shared" si="0"/>
        <v>31286183.34</v>
      </c>
    </row>
    <row r="12" spans="1:14" s="77" customFormat="1" ht="14.1" customHeight="1" x14ac:dyDescent="0.25">
      <c r="A12" s="83" t="s">
        <v>166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5">
        <f t="shared" si="0"/>
        <v>0</v>
      </c>
    </row>
    <row r="13" spans="1:14" s="77" customFormat="1" ht="14.1" customHeight="1" x14ac:dyDescent="0.25">
      <c r="A13" s="83" t="s">
        <v>167</v>
      </c>
      <c r="B13" s="84">
        <v>677804.68</v>
      </c>
      <c r="C13" s="84">
        <f>1387211.92-677804.68</f>
        <v>709407.23999999987</v>
      </c>
      <c r="D13" s="84">
        <f>2079944.8-1387211.92</f>
        <v>692732.88000000012</v>
      </c>
      <c r="E13" s="84">
        <f>2792052.15-2079944.8</f>
        <v>712107.34999999986</v>
      </c>
      <c r="F13" s="84">
        <f>3500957.89-2792052.15</f>
        <v>708905.74000000022</v>
      </c>
      <c r="G13" s="84">
        <f>4190615.95-3500957.89</f>
        <v>689658.06</v>
      </c>
      <c r="H13" s="84">
        <f>4874376.64-4190615.95</f>
        <v>683760.68999999948</v>
      </c>
      <c r="I13" s="84">
        <f>5559494.57-4874376.64</f>
        <v>685117.93000000063</v>
      </c>
      <c r="J13" s="84">
        <f>6291525.86-5559494.57</f>
        <v>732031.29</v>
      </c>
      <c r="K13" s="84">
        <f>7059502.96-6291525.86</f>
        <v>767977.09999999963</v>
      </c>
      <c r="L13" s="84">
        <f>7818553.42-7059502.96</f>
        <v>759050.46</v>
      </c>
      <c r="M13" s="84">
        <f>8563678.91-7818553.42</f>
        <v>745125.49000000022</v>
      </c>
      <c r="N13" s="85">
        <f t="shared" si="0"/>
        <v>8563678.9100000001</v>
      </c>
    </row>
    <row r="14" spans="1:14" s="77" customFormat="1" ht="14.1" customHeight="1" x14ac:dyDescent="0.25">
      <c r="A14" s="78" t="s">
        <v>252</v>
      </c>
      <c r="B14" s="79">
        <f>SUM(B5:B13)</f>
        <v>345671042.59000003</v>
      </c>
      <c r="C14" s="79">
        <f t="shared" ref="C14:M14" si="1">SUM(C5:C13)</f>
        <v>305814787.81999999</v>
      </c>
      <c r="D14" s="79">
        <f t="shared" si="1"/>
        <v>340261754.48999995</v>
      </c>
      <c r="E14" s="79">
        <f>SUM(E5:E13)</f>
        <v>309268239.80000007</v>
      </c>
      <c r="F14" s="79">
        <f t="shared" si="1"/>
        <v>327475266.57000005</v>
      </c>
      <c r="G14" s="79">
        <f t="shared" si="1"/>
        <v>332724240.38999993</v>
      </c>
      <c r="H14" s="79">
        <f t="shared" si="1"/>
        <v>361291499.92000002</v>
      </c>
      <c r="I14" s="79">
        <f t="shared" si="1"/>
        <v>353478330.17999989</v>
      </c>
      <c r="J14" s="79">
        <f>SUM(J5:J13)</f>
        <v>360316876.35000008</v>
      </c>
      <c r="K14" s="79">
        <f t="shared" si="1"/>
        <v>369186698.39000028</v>
      </c>
      <c r="L14" s="79">
        <f t="shared" si="1"/>
        <v>342966236.28999966</v>
      </c>
      <c r="M14" s="79">
        <f t="shared" si="1"/>
        <v>375961475.79000026</v>
      </c>
      <c r="N14" s="87">
        <f t="shared" ref="N14:N23" si="2">SUM(B14:M14)</f>
        <v>4124416448.5800004</v>
      </c>
    </row>
    <row r="15" spans="1:14" s="88" customFormat="1" ht="14.1" customHeight="1" x14ac:dyDescent="0.25">
      <c r="A15" s="83" t="s">
        <v>169</v>
      </c>
      <c r="B15" s="84">
        <v>763266.43</v>
      </c>
      <c r="C15" s="84">
        <f>1843990.81-763266.43</f>
        <v>1080724.3799999999</v>
      </c>
      <c r="D15" s="84">
        <f>2933243.2-1843990.81</f>
        <v>1089252.3900000001</v>
      </c>
      <c r="E15" s="84">
        <f>4164545.46-2933243.2</f>
        <v>1231302.2599999998</v>
      </c>
      <c r="F15" s="84">
        <f>5284081.18-4164545.46</f>
        <v>1119535.7199999997</v>
      </c>
      <c r="G15" s="84">
        <f>6472161.7-5284081.18</f>
        <v>1188080.5200000005</v>
      </c>
      <c r="H15" s="84">
        <f>7746021.81-6472161.7</f>
        <v>1273860.1099999994</v>
      </c>
      <c r="I15" s="84">
        <f>9011711.71-7746021.81</f>
        <v>1265689.9000000013</v>
      </c>
      <c r="J15" s="84">
        <f>10317223.68-9011711.71</f>
        <v>1305511.9699999988</v>
      </c>
      <c r="K15" s="84">
        <f>11603438.76-10317223.68</f>
        <v>1286215.08</v>
      </c>
      <c r="L15" s="84">
        <f>12869114.75-11603438.76</f>
        <v>1265675.9900000002</v>
      </c>
      <c r="M15" s="84">
        <f>14174517.28-12869114.75</f>
        <v>1305402.5299999993</v>
      </c>
      <c r="N15" s="85">
        <f t="shared" si="2"/>
        <v>14174517.279999999</v>
      </c>
    </row>
    <row r="16" spans="1:14" s="77" customFormat="1" ht="14.1" customHeight="1" x14ac:dyDescent="0.25">
      <c r="A16" s="83" t="s">
        <v>170</v>
      </c>
      <c r="B16" s="84">
        <v>345620.5</v>
      </c>
      <c r="C16" s="84">
        <f>2963713.11-345620.5</f>
        <v>2618092.61</v>
      </c>
      <c r="D16" s="84">
        <f>4145614.74-2963713.11</f>
        <v>1181901.6300000004</v>
      </c>
      <c r="E16" s="84">
        <f>5301401.3-4145614.74</f>
        <v>1155786.5599999996</v>
      </c>
      <c r="F16" s="84">
        <f>7458755.53-5301401.3</f>
        <v>2157354.2300000004</v>
      </c>
      <c r="G16" s="84">
        <f>9474996.67-7458755.53</f>
        <v>2016241.1399999997</v>
      </c>
      <c r="H16" s="84">
        <f>11787507.01-9474996.67</f>
        <v>2312510.34</v>
      </c>
      <c r="I16" s="84">
        <f>14168745.06-11787507.01</f>
        <v>2381238.0500000007</v>
      </c>
      <c r="J16" s="84">
        <f>17590056.81-14168745.06</f>
        <v>3421311.7499999981</v>
      </c>
      <c r="K16" s="84">
        <f>19488881.17-17590056.81</f>
        <v>1898824.3600000031</v>
      </c>
      <c r="L16" s="84">
        <f>24490044-19488881.17</f>
        <v>5001162.8299999982</v>
      </c>
      <c r="M16" s="84">
        <f>28363772.41-24490044</f>
        <v>3873728.41</v>
      </c>
      <c r="N16" s="85">
        <f t="shared" si="2"/>
        <v>28363772.41</v>
      </c>
    </row>
    <row r="17" spans="1:14" s="77" customFormat="1" ht="14.1" customHeight="1" x14ac:dyDescent="0.25">
      <c r="A17" s="83" t="s">
        <v>171</v>
      </c>
      <c r="B17" s="84">
        <v>0</v>
      </c>
      <c r="C17" s="84">
        <v>0</v>
      </c>
      <c r="D17" s="84">
        <v>0</v>
      </c>
      <c r="E17" s="84">
        <f>9079.31</f>
        <v>9079.31</v>
      </c>
      <c r="F17" s="84">
        <f>9079.31-9079.31</f>
        <v>0</v>
      </c>
      <c r="G17" s="84">
        <f>21484.7-9079.31</f>
        <v>12405.390000000001</v>
      </c>
      <c r="H17" s="84">
        <f>21484.7-21484.7</f>
        <v>0</v>
      </c>
      <c r="I17" s="84">
        <f>21484.7-21484.7</f>
        <v>0</v>
      </c>
      <c r="J17" s="84">
        <f>46295.49-21484.7</f>
        <v>24810.789999999997</v>
      </c>
      <c r="K17" s="84">
        <f>46295.49-46295.49</f>
        <v>0</v>
      </c>
      <c r="L17" s="84">
        <f>46295.49-46295.49</f>
        <v>0</v>
      </c>
      <c r="M17" s="84">
        <v>0</v>
      </c>
      <c r="N17" s="89">
        <f t="shared" si="2"/>
        <v>46295.49</v>
      </c>
    </row>
    <row r="18" spans="1:14" s="90" customFormat="1" ht="14.1" customHeight="1" x14ac:dyDescent="0.25">
      <c r="A18" s="83" t="s">
        <v>172</v>
      </c>
      <c r="B18" s="84">
        <v>0</v>
      </c>
      <c r="C18" s="84">
        <v>223885.52</v>
      </c>
      <c r="D18" s="84">
        <v>0</v>
      </c>
      <c r="E18" s="84">
        <v>0</v>
      </c>
      <c r="F18" s="84">
        <f>223885.52-223885.52</f>
        <v>0</v>
      </c>
      <c r="G18" s="84">
        <f>223885.52-223885.52</f>
        <v>0</v>
      </c>
      <c r="H18" s="84">
        <f>223885.52-223885.52</f>
        <v>0</v>
      </c>
      <c r="I18" s="84">
        <f>223885.52-223885.52</f>
        <v>0</v>
      </c>
      <c r="J18" s="84">
        <f>223885.52-223885.52</f>
        <v>0</v>
      </c>
      <c r="K18" s="84">
        <f>253896.26-223885.52</f>
        <v>30010.74000000002</v>
      </c>
      <c r="L18" s="84">
        <f>253896.26-253896.26</f>
        <v>0</v>
      </c>
      <c r="M18" s="84">
        <v>0</v>
      </c>
      <c r="N18" s="89">
        <f t="shared" si="2"/>
        <v>253896.26</v>
      </c>
    </row>
    <row r="19" spans="1:14" s="90" customFormat="1" ht="14.1" customHeight="1" x14ac:dyDescent="0.25">
      <c r="A19" s="78" t="s">
        <v>253</v>
      </c>
      <c r="B19" s="79">
        <f t="shared" ref="B19:M19" si="3">SUM(B15:B18)</f>
        <v>1108886.9300000002</v>
      </c>
      <c r="C19" s="79">
        <f t="shared" si="3"/>
        <v>3922702.51</v>
      </c>
      <c r="D19" s="79">
        <f t="shared" si="3"/>
        <v>2271154.0200000005</v>
      </c>
      <c r="E19" s="79">
        <f t="shared" si="3"/>
        <v>2396168.1299999994</v>
      </c>
      <c r="F19" s="79">
        <f t="shared" si="3"/>
        <v>3276889.95</v>
      </c>
      <c r="G19" s="79">
        <f t="shared" si="3"/>
        <v>3216727.0500000003</v>
      </c>
      <c r="H19" s="79">
        <f t="shared" si="3"/>
        <v>3586370.4499999993</v>
      </c>
      <c r="I19" s="79">
        <f t="shared" si="3"/>
        <v>3646927.950000002</v>
      </c>
      <c r="J19" s="79">
        <f t="shared" si="3"/>
        <v>4751634.509999997</v>
      </c>
      <c r="K19" s="79">
        <f t="shared" si="3"/>
        <v>3215050.1800000034</v>
      </c>
      <c r="L19" s="79">
        <f t="shared" si="3"/>
        <v>6266838.8199999984</v>
      </c>
      <c r="M19" s="79">
        <f t="shared" si="3"/>
        <v>5179130.9399999995</v>
      </c>
      <c r="N19" s="91">
        <f t="shared" si="2"/>
        <v>42838481.439999998</v>
      </c>
    </row>
    <row r="20" spans="1:14" s="90" customFormat="1" ht="14.1" customHeight="1" x14ac:dyDescent="0.25">
      <c r="A20" s="83" t="s">
        <v>174</v>
      </c>
      <c r="B20" s="84">
        <v>0</v>
      </c>
      <c r="C20" s="84">
        <v>0</v>
      </c>
      <c r="D20" s="84">
        <v>0</v>
      </c>
      <c r="E20" s="84">
        <v>0</v>
      </c>
      <c r="F20" s="92">
        <v>-7012.66</v>
      </c>
      <c r="G20" s="92">
        <f>-276539.63+7012.66</f>
        <v>-269526.97000000003</v>
      </c>
      <c r="H20" s="84">
        <f>276539.63-276539.63</f>
        <v>0</v>
      </c>
      <c r="I20" s="92">
        <f>-387801.27+276539.63</f>
        <v>-111261.64000000001</v>
      </c>
      <c r="J20" s="92">
        <f>-464562.66+387801.27</f>
        <v>-76761.389999999956</v>
      </c>
      <c r="K20" s="84">
        <v>0</v>
      </c>
      <c r="L20" s="92">
        <f>-516849.34+464562.66</f>
        <v>-52286.680000000051</v>
      </c>
      <c r="M20" s="92">
        <f>-629058.1+516849.34</f>
        <v>-112208.75999999995</v>
      </c>
      <c r="N20" s="89">
        <f t="shared" si="2"/>
        <v>-629058.1</v>
      </c>
    </row>
    <row r="21" spans="1:14" s="90" customFormat="1" ht="14.1" customHeight="1" x14ac:dyDescent="0.25">
      <c r="A21" s="83" t="s">
        <v>175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9">
        <f t="shared" si="2"/>
        <v>0</v>
      </c>
    </row>
    <row r="22" spans="1:14" s="90" customFormat="1" ht="14.1" customHeight="1" x14ac:dyDescent="0.25">
      <c r="A22" s="83" t="s">
        <v>176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9">
        <f t="shared" si="2"/>
        <v>0</v>
      </c>
    </row>
    <row r="23" spans="1:14" s="90" customFormat="1" ht="14.1" customHeight="1" x14ac:dyDescent="0.25">
      <c r="A23" s="83" t="s">
        <v>177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92">
        <v>-12405.39</v>
      </c>
      <c r="H23" s="84">
        <f>12405.39-12405.39</f>
        <v>0</v>
      </c>
      <c r="I23" s="84">
        <v>0</v>
      </c>
      <c r="J23" s="92">
        <f>-37216.18+12405.39</f>
        <v>-24810.79</v>
      </c>
      <c r="K23" s="84">
        <v>0</v>
      </c>
      <c r="L23" s="84">
        <v>0</v>
      </c>
      <c r="M23" s="84">
        <v>0</v>
      </c>
      <c r="N23" s="89">
        <f t="shared" si="2"/>
        <v>-37216.18</v>
      </c>
    </row>
    <row r="24" spans="1:14" s="90" customFormat="1" ht="14.1" customHeight="1" x14ac:dyDescent="0.25">
      <c r="A24" s="83" t="s">
        <v>178</v>
      </c>
      <c r="B24" s="84">
        <v>0</v>
      </c>
      <c r="C24" s="92">
        <f>-C18</f>
        <v>-223885.52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f>-253896.26+223885.52</f>
        <v>-30010.74000000002</v>
      </c>
      <c r="L24" s="84">
        <v>0</v>
      </c>
      <c r="M24" s="84">
        <v>0</v>
      </c>
      <c r="N24" s="89">
        <f>SUM(B24:M24)</f>
        <v>-253896.26</v>
      </c>
    </row>
    <row r="25" spans="1:14" s="90" customFormat="1" ht="14.1" customHeight="1" x14ac:dyDescent="0.25">
      <c r="A25" s="78" t="s">
        <v>179</v>
      </c>
      <c r="B25" s="93">
        <f>SUM(B20:B24)</f>
        <v>0</v>
      </c>
      <c r="C25" s="93">
        <f t="shared" ref="C25:M25" si="4">SUM(C20:C24)</f>
        <v>-223885.52</v>
      </c>
      <c r="D25" s="93">
        <f t="shared" si="4"/>
        <v>0</v>
      </c>
      <c r="E25" s="93">
        <f t="shared" si="4"/>
        <v>0</v>
      </c>
      <c r="F25" s="93">
        <f>SUM(F20:F24)</f>
        <v>-7012.66</v>
      </c>
      <c r="G25" s="93">
        <f t="shared" si="4"/>
        <v>-281932.36000000004</v>
      </c>
      <c r="H25" s="93">
        <f t="shared" si="4"/>
        <v>0</v>
      </c>
      <c r="I25" s="93">
        <f t="shared" si="4"/>
        <v>-111261.64000000001</v>
      </c>
      <c r="J25" s="93">
        <f t="shared" si="4"/>
        <v>-101572.17999999996</v>
      </c>
      <c r="K25" s="93">
        <f t="shared" si="4"/>
        <v>-30010.74000000002</v>
      </c>
      <c r="L25" s="93">
        <f>SUM(L20:L24)</f>
        <v>-52286.680000000051</v>
      </c>
      <c r="M25" s="93">
        <f t="shared" si="4"/>
        <v>-112208.75999999995</v>
      </c>
      <c r="N25" s="91">
        <f>SUM(N20:N22)</f>
        <v>-629058.1</v>
      </c>
    </row>
    <row r="26" spans="1:14" s="90" customFormat="1" ht="14.1" customHeight="1" x14ac:dyDescent="0.25">
      <c r="A26" s="83" t="s">
        <v>180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f>24624.55-0</f>
        <v>24624.55</v>
      </c>
      <c r="J26" s="84">
        <v>0</v>
      </c>
      <c r="K26" s="84">
        <v>0</v>
      </c>
      <c r="L26" s="84">
        <v>0</v>
      </c>
      <c r="M26" s="84">
        <v>13264.08</v>
      </c>
      <c r="N26" s="89">
        <f>SUM(B26:M26)</f>
        <v>37888.629999999997</v>
      </c>
    </row>
    <row r="27" spans="1:14" s="90" customFormat="1" ht="12.75" customHeight="1" x14ac:dyDescent="0.25">
      <c r="A27" s="78" t="s">
        <v>181</v>
      </c>
      <c r="B27" s="94">
        <f t="shared" ref="B27:M27" si="5">+B14+B19+B25+B26</f>
        <v>346779929.52000004</v>
      </c>
      <c r="C27" s="94">
        <f t="shared" si="5"/>
        <v>309513604.81</v>
      </c>
      <c r="D27" s="94">
        <f t="shared" si="5"/>
        <v>342532908.50999993</v>
      </c>
      <c r="E27" s="94">
        <f t="shared" si="5"/>
        <v>311664407.93000007</v>
      </c>
      <c r="F27" s="94">
        <f t="shared" si="5"/>
        <v>330745143.86000001</v>
      </c>
      <c r="G27" s="94">
        <f t="shared" si="5"/>
        <v>335659035.07999992</v>
      </c>
      <c r="H27" s="94">
        <f t="shared" si="5"/>
        <v>364877870.37</v>
      </c>
      <c r="I27" s="94">
        <f t="shared" si="5"/>
        <v>357038621.0399999</v>
      </c>
      <c r="J27" s="94">
        <f t="shared" si="5"/>
        <v>364966938.68000007</v>
      </c>
      <c r="K27" s="94">
        <f t="shared" si="5"/>
        <v>372371737.83000028</v>
      </c>
      <c r="L27" s="94">
        <f t="shared" si="5"/>
        <v>349180788.42999965</v>
      </c>
      <c r="M27" s="94">
        <f t="shared" si="5"/>
        <v>381041662.05000025</v>
      </c>
      <c r="N27" s="95">
        <f>SUM(B27:M27)</f>
        <v>4166372648.1100006</v>
      </c>
    </row>
    <row r="28" spans="1:14" s="90" customFormat="1" ht="8.1" customHeight="1" x14ac:dyDescent="0.25">
      <c r="A28" s="96"/>
      <c r="B28" s="84"/>
      <c r="C28" s="84"/>
      <c r="D28" s="84"/>
      <c r="E28" s="84"/>
      <c r="F28" s="84"/>
      <c r="G28" s="84"/>
      <c r="H28" s="79"/>
      <c r="I28" s="79"/>
      <c r="J28" s="79"/>
      <c r="K28" s="79"/>
      <c r="L28" s="79"/>
      <c r="M28" s="79"/>
      <c r="N28" s="91"/>
    </row>
    <row r="29" spans="1:14" s="90" customFormat="1" ht="14.1" customHeight="1" x14ac:dyDescent="0.25">
      <c r="A29" s="97" t="s">
        <v>182</v>
      </c>
      <c r="B29" s="84">
        <v>8751367.6300000008</v>
      </c>
      <c r="C29" s="84">
        <f>17353365.79-8751367.63</f>
        <v>8601998.1599999983</v>
      </c>
      <c r="D29" s="84">
        <f>27544431.95-17353365.79</f>
        <v>10191066.16</v>
      </c>
      <c r="E29" s="84">
        <f>36246420.37-27544431.95</f>
        <v>8701988.4199999981</v>
      </c>
      <c r="F29" s="84">
        <f>46349340.09-36246420.37</f>
        <v>10102919.720000006</v>
      </c>
      <c r="G29" s="84">
        <f>54465524.09-46349340.09</f>
        <v>8116184</v>
      </c>
      <c r="H29" s="84">
        <f>60386602.66-54465524.09</f>
        <v>5921078.5699999928</v>
      </c>
      <c r="I29" s="84">
        <f>71057329.25-60386602.66</f>
        <v>10670726.590000004</v>
      </c>
      <c r="J29" s="84">
        <f>76040970.2-71057329.25</f>
        <v>4983640.950000003</v>
      </c>
      <c r="K29" s="84">
        <f>81520222.96-76040970.2</f>
        <v>5479252.7599999905</v>
      </c>
      <c r="L29" s="84">
        <f>86785705.57-81520222.96</f>
        <v>5265482.6099999994</v>
      </c>
      <c r="M29" s="84">
        <f>91882177.29-86785705.57</f>
        <v>5096471.7200000137</v>
      </c>
      <c r="N29" s="89">
        <f>SUM(B29:M29)</f>
        <v>91882177.290000007</v>
      </c>
    </row>
    <row r="30" spans="1:14" s="90" customFormat="1" ht="14.1" customHeight="1" x14ac:dyDescent="0.25">
      <c r="A30" s="83" t="s">
        <v>183</v>
      </c>
      <c r="B30" s="92">
        <v>-535554.71</v>
      </c>
      <c r="C30" s="92">
        <f>-1136731.95+535554.71</f>
        <v>-601177.24</v>
      </c>
      <c r="D30" s="92">
        <f>-1678360.87+1136731.95</f>
        <v>-541628.92000000016</v>
      </c>
      <c r="E30" s="92">
        <f>-2264945.38+1678360.87</f>
        <v>-586584.50999999978</v>
      </c>
      <c r="F30" s="92">
        <f>-2908018.5+2264945.38</f>
        <v>-643073.12000000011</v>
      </c>
      <c r="G30" s="92">
        <f>-3533918.47+2908018.5</f>
        <v>-625899.9700000002</v>
      </c>
      <c r="H30" s="92">
        <f>-4145857.69+3533918.47</f>
        <v>-611939.21999999974</v>
      </c>
      <c r="I30" s="92">
        <f>-4737101+4145857.69</f>
        <v>-591243.31000000006</v>
      </c>
      <c r="J30" s="92">
        <f>-5332168.24+4737101</f>
        <v>-595067.24000000022</v>
      </c>
      <c r="K30" s="92">
        <f>-6013328.41+5332168.24</f>
        <v>-681160.16999999993</v>
      </c>
      <c r="L30" s="92">
        <f>-6639230.21+6013328.41</f>
        <v>-625901.79999999981</v>
      </c>
      <c r="M30" s="92">
        <f>-6649317.77+6639230.21</f>
        <v>-10087.55999999959</v>
      </c>
      <c r="N30" s="98">
        <f>SUM(B30:M30)</f>
        <v>-6649317.7699999996</v>
      </c>
    </row>
    <row r="31" spans="1:14" s="90" customFormat="1" ht="14.1" customHeight="1" x14ac:dyDescent="0.25">
      <c r="A31" s="83" t="s">
        <v>184</v>
      </c>
      <c r="B31" s="84">
        <v>0</v>
      </c>
      <c r="C31" s="84">
        <v>0</v>
      </c>
      <c r="D31" s="92">
        <f>-220184.53</f>
        <v>-220184.53</v>
      </c>
      <c r="E31" s="84">
        <v>0</v>
      </c>
      <c r="F31" s="84">
        <v>0</v>
      </c>
      <c r="G31" s="92">
        <f>-635483.16+220184.53</f>
        <v>-415298.63</v>
      </c>
      <c r="H31" s="84">
        <f>635483.16-635483.16</f>
        <v>0</v>
      </c>
      <c r="I31" s="84">
        <v>0</v>
      </c>
      <c r="J31" s="84">
        <f>-472041.2+635483.16</f>
        <v>163441.96000000002</v>
      </c>
      <c r="K31" s="84">
        <f>472041.2-472041.2</f>
        <v>0</v>
      </c>
      <c r="L31" s="84">
        <v>0</v>
      </c>
      <c r="M31" s="92">
        <f>-954703.46+472041.2</f>
        <v>-482662.25999999995</v>
      </c>
      <c r="N31" s="98">
        <f>SUM(B31:M31)</f>
        <v>-954703.46</v>
      </c>
    </row>
    <row r="32" spans="1:14" s="90" customFormat="1" ht="14.1" customHeight="1" x14ac:dyDescent="0.25">
      <c r="A32" s="83" t="s">
        <v>185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92">
        <f>-24624.55</f>
        <v>-24624.55</v>
      </c>
      <c r="J32" s="84">
        <v>0</v>
      </c>
      <c r="K32" s="84">
        <v>0</v>
      </c>
      <c r="L32" s="84">
        <v>0</v>
      </c>
      <c r="M32" s="92">
        <f>-37888.63+24624.55</f>
        <v>-13264.079999999998</v>
      </c>
      <c r="N32" s="98">
        <f>SUM(B32:M32)</f>
        <v>-37888.629999999997</v>
      </c>
    </row>
    <row r="33" spans="1:14" s="90" customFormat="1" ht="14.1" customHeight="1" x14ac:dyDescent="0.25">
      <c r="A33" s="78" t="s">
        <v>186</v>
      </c>
      <c r="B33" s="79">
        <f t="shared" ref="B33:H33" si="6">SUM(B29:B32)</f>
        <v>8215812.9200000009</v>
      </c>
      <c r="C33" s="79">
        <f t="shared" si="6"/>
        <v>8000820.9199999981</v>
      </c>
      <c r="D33" s="79">
        <f t="shared" si="6"/>
        <v>9429252.7100000009</v>
      </c>
      <c r="E33" s="79">
        <f>SUM(E29:E32)</f>
        <v>8115403.9099999983</v>
      </c>
      <c r="F33" s="79">
        <f t="shared" si="6"/>
        <v>9459846.6000000052</v>
      </c>
      <c r="G33" s="79">
        <f t="shared" si="6"/>
        <v>7074985.3999999994</v>
      </c>
      <c r="H33" s="79">
        <f t="shared" si="6"/>
        <v>5309139.3499999931</v>
      </c>
      <c r="I33" s="79">
        <f>SUM(I29:I32)</f>
        <v>10054858.730000002</v>
      </c>
      <c r="J33" s="79">
        <f>SUM(J29:J32)</f>
        <v>4552015.6700000027</v>
      </c>
      <c r="K33" s="79">
        <f>SUM(K29:K32)</f>
        <v>4798092.5899999905</v>
      </c>
      <c r="L33" s="79">
        <f>SUM(L29:L32)</f>
        <v>4639580.8099999996</v>
      </c>
      <c r="M33" s="79">
        <f>SUM(M29:M32)</f>
        <v>4590457.8200000143</v>
      </c>
      <c r="N33" s="91">
        <f>SUM(B33:M33)</f>
        <v>84240267.430000007</v>
      </c>
    </row>
    <row r="34" spans="1:14" s="77" customFormat="1" ht="14.1" customHeight="1" x14ac:dyDescent="0.25">
      <c r="A34" s="78" t="s">
        <v>187</v>
      </c>
      <c r="B34" s="94">
        <f t="shared" ref="B34:N34" si="7">B33</f>
        <v>8215812.9200000009</v>
      </c>
      <c r="C34" s="94">
        <f t="shared" si="7"/>
        <v>8000820.9199999981</v>
      </c>
      <c r="D34" s="94">
        <f t="shared" si="7"/>
        <v>9429252.7100000009</v>
      </c>
      <c r="E34" s="94">
        <f>E33</f>
        <v>8115403.9099999983</v>
      </c>
      <c r="F34" s="94">
        <f t="shared" si="7"/>
        <v>9459846.6000000052</v>
      </c>
      <c r="G34" s="94">
        <f t="shared" si="7"/>
        <v>7074985.3999999994</v>
      </c>
      <c r="H34" s="94">
        <f t="shared" si="7"/>
        <v>5309139.3499999931</v>
      </c>
      <c r="I34" s="94">
        <f t="shared" si="7"/>
        <v>10054858.730000002</v>
      </c>
      <c r="J34" s="94">
        <f t="shared" si="7"/>
        <v>4552015.6700000027</v>
      </c>
      <c r="K34" s="94">
        <f t="shared" si="7"/>
        <v>4798092.5899999905</v>
      </c>
      <c r="L34" s="94">
        <f t="shared" si="7"/>
        <v>4639580.8099999996</v>
      </c>
      <c r="M34" s="94">
        <f t="shared" si="7"/>
        <v>4590457.8200000143</v>
      </c>
      <c r="N34" s="94">
        <f t="shared" si="7"/>
        <v>84240267.430000007</v>
      </c>
    </row>
    <row r="35" spans="1:14" s="77" customFormat="1" ht="8.1" customHeight="1" x14ac:dyDescent="0.2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9"/>
    </row>
    <row r="36" spans="1:14" s="77" customFormat="1" ht="14.1" customHeight="1" thickBot="1" x14ac:dyDescent="0.3">
      <c r="A36" s="100" t="s">
        <v>188</v>
      </c>
      <c r="B36" s="101">
        <f>B27+B34</f>
        <v>354995742.44000006</v>
      </c>
      <c r="C36" s="101">
        <f t="shared" ref="C36:M36" si="8">C27+C34</f>
        <v>317514425.73000002</v>
      </c>
      <c r="D36" s="101">
        <f t="shared" si="8"/>
        <v>351962161.21999991</v>
      </c>
      <c r="E36" s="101">
        <f>E27+E34</f>
        <v>319779811.84000009</v>
      </c>
      <c r="F36" s="101">
        <f t="shared" si="8"/>
        <v>340204990.46000004</v>
      </c>
      <c r="G36" s="101">
        <f t="shared" si="8"/>
        <v>342734020.4799999</v>
      </c>
      <c r="H36" s="101">
        <f>H27+H34</f>
        <v>370187009.71999997</v>
      </c>
      <c r="I36" s="101">
        <f t="shared" si="8"/>
        <v>367093479.76999992</v>
      </c>
      <c r="J36" s="101">
        <f t="shared" si="8"/>
        <v>369518954.35000008</v>
      </c>
      <c r="K36" s="101">
        <f t="shared" si="8"/>
        <v>377169830.42000026</v>
      </c>
      <c r="L36" s="101">
        <f t="shared" si="8"/>
        <v>353820369.23999965</v>
      </c>
      <c r="M36" s="101">
        <f t="shared" si="8"/>
        <v>385632119.87000024</v>
      </c>
      <c r="N36" s="102">
        <f>SUM(B36:M36)</f>
        <v>4250612915.54</v>
      </c>
    </row>
    <row r="37" spans="1:14" s="77" customFormat="1" ht="9.9499999999999993" customHeight="1" thickTop="1" thickBot="1" x14ac:dyDescent="0.3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s="90" customFormat="1" ht="14.1" customHeight="1" thickTop="1" x14ac:dyDescent="0.25">
      <c r="A38" s="106" t="s">
        <v>189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  <c r="L38" s="109"/>
      <c r="M38" s="109"/>
      <c r="N38" s="110"/>
    </row>
    <row r="39" spans="1:14" s="90" customFormat="1" ht="14.1" customHeight="1" x14ac:dyDescent="0.25">
      <c r="A39" s="111" t="s">
        <v>190</v>
      </c>
      <c r="B39" s="79">
        <f>SUM(B40:B52)</f>
        <v>10596104.299999999</v>
      </c>
      <c r="C39" s="79">
        <f t="shared" ref="C39:N39" si="9">SUM(C40:C52)</f>
        <v>11479818.240000002</v>
      </c>
      <c r="D39" s="79">
        <f t="shared" si="9"/>
        <v>12309943.23</v>
      </c>
      <c r="E39" s="79">
        <f>SUM(E40:E52)</f>
        <v>11575075.91</v>
      </c>
      <c r="F39" s="79">
        <f t="shared" si="9"/>
        <v>12481506.84</v>
      </c>
      <c r="G39" s="79">
        <f t="shared" si="9"/>
        <v>12564560.689999998</v>
      </c>
      <c r="H39" s="79">
        <f>SUM(H40:H52)</f>
        <v>11562526.35</v>
      </c>
      <c r="I39" s="79">
        <f t="shared" si="9"/>
        <v>12628906.580000002</v>
      </c>
      <c r="J39" s="79">
        <f t="shared" si="9"/>
        <v>9314965.7899999991</v>
      </c>
      <c r="K39" s="79">
        <f t="shared" si="9"/>
        <v>10559956.870000001</v>
      </c>
      <c r="L39" s="79">
        <f t="shared" si="9"/>
        <v>12813655.669999998</v>
      </c>
      <c r="M39" s="79">
        <f>SUM(M40:M52)</f>
        <v>14773874.190000001</v>
      </c>
      <c r="N39" s="99">
        <f t="shared" si="9"/>
        <v>142660894.66</v>
      </c>
    </row>
    <row r="40" spans="1:14" s="90" customFormat="1" ht="14.1" customHeight="1" x14ac:dyDescent="0.25">
      <c r="A40" s="83" t="s">
        <v>254</v>
      </c>
      <c r="B40" s="84">
        <v>260119.13</v>
      </c>
      <c r="C40" s="84">
        <v>361019.47</v>
      </c>
      <c r="D40" s="84">
        <v>581572.52</v>
      </c>
      <c r="E40" s="84">
        <v>323556.87</v>
      </c>
      <c r="F40" s="84">
        <v>477634.84</v>
      </c>
      <c r="G40" s="84">
        <v>976759.34</v>
      </c>
      <c r="H40" s="84">
        <v>1045520.89</v>
      </c>
      <c r="I40" s="84">
        <v>558777.77</v>
      </c>
      <c r="J40" s="84">
        <v>445296.22</v>
      </c>
      <c r="K40" s="84">
        <v>496110.81</v>
      </c>
      <c r="L40" s="84">
        <v>507876</v>
      </c>
      <c r="M40" s="84">
        <v>739842.88</v>
      </c>
      <c r="N40" s="89">
        <f t="shared" ref="N40:N52" si="10">SUM(B40:M40)</f>
        <v>6774086.7399999993</v>
      </c>
    </row>
    <row r="41" spans="1:14" s="90" customFormat="1" ht="14.1" customHeight="1" x14ac:dyDescent="0.25">
      <c r="A41" s="83" t="s">
        <v>255</v>
      </c>
      <c r="B41" s="84">
        <v>8086.51</v>
      </c>
      <c r="C41" s="84">
        <v>20378.150000000001</v>
      </c>
      <c r="D41" s="84">
        <v>12380.15</v>
      </c>
      <c r="E41" s="84">
        <v>11097.79</v>
      </c>
      <c r="F41" s="84">
        <v>19587.560000000001</v>
      </c>
      <c r="G41" s="84">
        <v>16663.88</v>
      </c>
      <c r="H41" s="84">
        <v>21297.279999999999</v>
      </c>
      <c r="I41" s="84">
        <v>28530.79</v>
      </c>
      <c r="J41" s="84">
        <v>12632.85</v>
      </c>
      <c r="K41" s="84">
        <v>10819.2</v>
      </c>
      <c r="L41" s="84">
        <v>10797.34</v>
      </c>
      <c r="M41" s="84">
        <v>19467.75</v>
      </c>
      <c r="N41" s="89">
        <f t="shared" si="10"/>
        <v>191739.25000000003</v>
      </c>
    </row>
    <row r="42" spans="1:14" s="90" customFormat="1" ht="14.1" customHeight="1" x14ac:dyDescent="0.25">
      <c r="A42" s="83" t="s">
        <v>256</v>
      </c>
      <c r="B42" s="84">
        <v>1185795.8700000001</v>
      </c>
      <c r="C42" s="84">
        <v>1123674.56</v>
      </c>
      <c r="D42" s="84">
        <v>1331192.23</v>
      </c>
      <c r="E42" s="84">
        <v>1025182.85</v>
      </c>
      <c r="F42" s="84">
        <v>1263029.54</v>
      </c>
      <c r="G42" s="84">
        <v>1561285.51</v>
      </c>
      <c r="H42" s="84">
        <v>1584090.61</v>
      </c>
      <c r="I42" s="84">
        <v>1378718.63</v>
      </c>
      <c r="J42" s="84">
        <v>474878.8</v>
      </c>
      <c r="K42" s="84">
        <v>1070034.99</v>
      </c>
      <c r="L42" s="84">
        <v>1323105.95</v>
      </c>
      <c r="M42" s="84">
        <v>1806983.25</v>
      </c>
      <c r="N42" s="89">
        <f t="shared" si="10"/>
        <v>15127972.790000001</v>
      </c>
    </row>
    <row r="43" spans="1:14" s="90" customFormat="1" ht="14.1" customHeight="1" x14ac:dyDescent="0.25">
      <c r="A43" s="83" t="s">
        <v>258</v>
      </c>
      <c r="B43" s="84">
        <v>444891.34</v>
      </c>
      <c r="C43" s="84">
        <v>344709.94</v>
      </c>
      <c r="D43" s="84">
        <v>638940.35</v>
      </c>
      <c r="E43" s="84">
        <v>600645.04</v>
      </c>
      <c r="F43" s="84">
        <v>568763.98</v>
      </c>
      <c r="G43" s="84">
        <v>500506.4</v>
      </c>
      <c r="H43" s="84">
        <v>632851.18999999994</v>
      </c>
      <c r="I43" s="84">
        <v>562159.17000000004</v>
      </c>
      <c r="J43" s="84">
        <v>338726.79</v>
      </c>
      <c r="K43" s="84">
        <v>505735.96</v>
      </c>
      <c r="L43" s="84">
        <v>471372.02</v>
      </c>
      <c r="M43" s="84">
        <v>731873.76</v>
      </c>
      <c r="N43" s="89">
        <f t="shared" si="10"/>
        <v>6341175.9399999995</v>
      </c>
    </row>
    <row r="44" spans="1:14" s="90" customFormat="1" ht="14.1" customHeight="1" x14ac:dyDescent="0.25">
      <c r="A44" s="83" t="s">
        <v>259</v>
      </c>
      <c r="B44" s="84">
        <v>6038168.5199999996</v>
      </c>
      <c r="C44" s="84">
        <v>7636365.5199999996</v>
      </c>
      <c r="D44" s="84">
        <v>7000578.2800000003</v>
      </c>
      <c r="E44" s="84">
        <v>7301132.6900000004</v>
      </c>
      <c r="F44" s="84">
        <v>7186700.2599999998</v>
      </c>
      <c r="G44" s="84">
        <v>6987903.0199999996</v>
      </c>
      <c r="H44" s="84">
        <v>5986517.5499999998</v>
      </c>
      <c r="I44" s="84">
        <v>7051357.9900000002</v>
      </c>
      <c r="J44" s="84">
        <v>5753856.2699999996</v>
      </c>
      <c r="K44" s="84">
        <v>6203993.9900000002</v>
      </c>
      <c r="L44" s="84">
        <v>7841670.9699999997</v>
      </c>
      <c r="M44" s="84">
        <v>8201941.3700000001</v>
      </c>
      <c r="N44" s="89">
        <f t="shared" si="10"/>
        <v>83190186.430000007</v>
      </c>
    </row>
    <row r="45" spans="1:14" s="90" customFormat="1" ht="14.1" customHeight="1" x14ac:dyDescent="0.25">
      <c r="A45" s="83" t="s">
        <v>260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647.1</v>
      </c>
      <c r="H45" s="84">
        <v>2275</v>
      </c>
      <c r="I45" s="84">
        <v>4799.2</v>
      </c>
      <c r="J45" s="84">
        <v>4800</v>
      </c>
      <c r="K45" s="84">
        <v>4787.5</v>
      </c>
      <c r="L45" s="84">
        <v>65170.74</v>
      </c>
      <c r="M45" s="84">
        <v>546.69000000000005</v>
      </c>
      <c r="N45" s="89">
        <f t="shared" si="10"/>
        <v>83026.23</v>
      </c>
    </row>
    <row r="46" spans="1:14" s="90" customFormat="1" ht="14.1" customHeight="1" x14ac:dyDescent="0.25">
      <c r="A46" s="83" t="s">
        <v>257</v>
      </c>
      <c r="B46" s="84">
        <v>21643.119999999999</v>
      </c>
      <c r="C46" s="84">
        <v>29815.67</v>
      </c>
      <c r="D46" s="84">
        <v>45276.32</v>
      </c>
      <c r="E46" s="84">
        <v>26522.400000000001</v>
      </c>
      <c r="F46" s="84">
        <v>30465.82</v>
      </c>
      <c r="G46" s="84">
        <v>47944.85</v>
      </c>
      <c r="H46" s="84">
        <v>25819.759999999998</v>
      </c>
      <c r="I46" s="84">
        <v>61240.24</v>
      </c>
      <c r="J46" s="84">
        <v>19009.16</v>
      </c>
      <c r="K46" s="84">
        <v>22638.77</v>
      </c>
      <c r="L46" s="84">
        <v>17619.099999999999</v>
      </c>
      <c r="M46" s="84">
        <v>92346.99</v>
      </c>
      <c r="N46" s="89">
        <f t="shared" si="10"/>
        <v>440342.19999999995</v>
      </c>
    </row>
    <row r="47" spans="1:14" s="90" customFormat="1" ht="14.1" customHeight="1" x14ac:dyDescent="0.25">
      <c r="A47" s="83" t="s">
        <v>261</v>
      </c>
      <c r="B47" s="84">
        <v>161957.51</v>
      </c>
      <c r="C47" s="84">
        <v>149679.71</v>
      </c>
      <c r="D47" s="84">
        <v>199959.15</v>
      </c>
      <c r="E47" s="84">
        <v>175545.2</v>
      </c>
      <c r="F47" s="84">
        <v>210828.71</v>
      </c>
      <c r="G47" s="84">
        <v>219012.05</v>
      </c>
      <c r="H47" s="84">
        <v>219658.07</v>
      </c>
      <c r="I47" s="84">
        <v>452166.51</v>
      </c>
      <c r="J47" s="84">
        <v>170147.68</v>
      </c>
      <c r="K47" s="84">
        <v>50461.56</v>
      </c>
      <c r="L47" s="84">
        <v>153008.26</v>
      </c>
      <c r="M47" s="84">
        <v>322064.88</v>
      </c>
      <c r="N47" s="89">
        <f t="shared" si="10"/>
        <v>2484489.29</v>
      </c>
    </row>
    <row r="48" spans="1:14" s="90" customFormat="1" ht="14.1" customHeight="1" x14ac:dyDescent="0.25">
      <c r="A48" s="83" t="s">
        <v>262</v>
      </c>
      <c r="B48" s="84">
        <v>1071133.93</v>
      </c>
      <c r="C48" s="84">
        <v>922354.15</v>
      </c>
      <c r="D48" s="84">
        <v>1100094.76</v>
      </c>
      <c r="E48" s="84">
        <v>889649.28</v>
      </c>
      <c r="F48" s="84">
        <v>1039214.8</v>
      </c>
      <c r="G48" s="84">
        <v>987690.27</v>
      </c>
      <c r="H48" s="84">
        <v>1019088.35</v>
      </c>
      <c r="I48" s="84">
        <v>1143872.04</v>
      </c>
      <c r="J48" s="84">
        <v>1043575.47</v>
      </c>
      <c r="K48" s="84">
        <v>1069638.6299999999</v>
      </c>
      <c r="L48" s="84">
        <f>373495.03+735324.13</f>
        <v>1108819.1600000001</v>
      </c>
      <c r="M48" s="84">
        <v>1282163.99</v>
      </c>
      <c r="N48" s="89">
        <f t="shared" si="10"/>
        <v>12677294.83</v>
      </c>
    </row>
    <row r="49" spans="1:14" s="90" customFormat="1" ht="14.1" customHeight="1" x14ac:dyDescent="0.25">
      <c r="A49" s="83" t="s">
        <v>263</v>
      </c>
      <c r="B49" s="84">
        <v>280</v>
      </c>
      <c r="C49" s="84">
        <v>0</v>
      </c>
      <c r="D49" s="84">
        <v>1457.68</v>
      </c>
      <c r="E49" s="84">
        <v>1145.72</v>
      </c>
      <c r="F49" s="84">
        <v>150</v>
      </c>
      <c r="G49" s="84">
        <v>507.5</v>
      </c>
      <c r="H49" s="84">
        <v>1544.85</v>
      </c>
      <c r="I49" s="84">
        <v>1179.8</v>
      </c>
      <c r="J49" s="84">
        <f>5125+349</f>
        <v>5474</v>
      </c>
      <c r="K49" s="84">
        <v>1308.8</v>
      </c>
      <c r="L49" s="84">
        <f>2572.58+1456.5</f>
        <v>4029.08</v>
      </c>
      <c r="M49" s="84">
        <v>2331.17</v>
      </c>
      <c r="N49" s="89">
        <f t="shared" si="10"/>
        <v>19408.599999999999</v>
      </c>
    </row>
    <row r="50" spans="1:14" s="90" customFormat="1" ht="14.1" customHeight="1" x14ac:dyDescent="0.25">
      <c r="A50" s="83" t="s">
        <v>264</v>
      </c>
      <c r="B50" s="84">
        <v>176505.53</v>
      </c>
      <c r="C50" s="84">
        <v>89891.11</v>
      </c>
      <c r="D50" s="84">
        <v>151811.41</v>
      </c>
      <c r="E50" s="84">
        <v>130316.2</v>
      </c>
      <c r="F50" s="84">
        <v>159986.62</v>
      </c>
      <c r="G50" s="84">
        <v>214432.48</v>
      </c>
      <c r="H50" s="84">
        <v>170049.65</v>
      </c>
      <c r="I50" s="84">
        <v>155659.38</v>
      </c>
      <c r="J50" s="84">
        <f>48750.84+132447.92</f>
        <v>181198.76</v>
      </c>
      <c r="K50" s="84">
        <v>297331.71000000002</v>
      </c>
      <c r="L50" s="84">
        <v>231932.17</v>
      </c>
      <c r="M50" s="84">
        <v>170050.47</v>
      </c>
      <c r="N50" s="89">
        <f t="shared" si="10"/>
        <v>2129165.4899999998</v>
      </c>
    </row>
    <row r="51" spans="1:14" s="90" customFormat="1" ht="14.1" customHeight="1" x14ac:dyDescent="0.25">
      <c r="A51" s="83" t="s">
        <v>265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9">
        <f t="shared" si="10"/>
        <v>0</v>
      </c>
    </row>
    <row r="52" spans="1:14" s="90" customFormat="1" ht="14.1" customHeight="1" x14ac:dyDescent="0.25">
      <c r="A52" s="83" t="s">
        <v>266</v>
      </c>
      <c r="B52" s="84">
        <v>1227522.8400000001</v>
      </c>
      <c r="C52" s="84">
        <v>801929.96</v>
      </c>
      <c r="D52" s="84">
        <v>1246680.3799999999</v>
      </c>
      <c r="E52" s="84">
        <v>1090281.8700000001</v>
      </c>
      <c r="F52" s="84">
        <v>1525144.71</v>
      </c>
      <c r="G52" s="84">
        <v>1051208.29</v>
      </c>
      <c r="H52" s="84">
        <v>853813.15</v>
      </c>
      <c r="I52" s="84">
        <v>1230445.06</v>
      </c>
      <c r="J52" s="84">
        <v>865369.79</v>
      </c>
      <c r="K52" s="84">
        <v>827094.95</v>
      </c>
      <c r="L52" s="84">
        <v>1078254.8799999999</v>
      </c>
      <c r="M52" s="84">
        <v>1404260.99</v>
      </c>
      <c r="N52" s="89">
        <f t="shared" si="10"/>
        <v>13202006.869999999</v>
      </c>
    </row>
    <row r="53" spans="1:14" s="90" customFormat="1" ht="8.1" customHeight="1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112"/>
      <c r="K53" s="84"/>
      <c r="L53" s="84"/>
      <c r="M53" s="84"/>
      <c r="N53" s="89"/>
    </row>
    <row r="54" spans="1:14" s="90" customFormat="1" ht="14.1" customHeight="1" x14ac:dyDescent="0.25">
      <c r="A54" s="78" t="s">
        <v>191</v>
      </c>
      <c r="B54" s="79">
        <f t="shared" ref="B54:N54" si="11">SUM(B55:B68)</f>
        <v>50882312.430000007</v>
      </c>
      <c r="C54" s="79">
        <f t="shared" si="11"/>
        <v>49951638.619999997</v>
      </c>
      <c r="D54" s="79">
        <f t="shared" si="11"/>
        <v>57262547.279999994</v>
      </c>
      <c r="E54" s="79">
        <f t="shared" si="11"/>
        <v>55131854.859999992</v>
      </c>
      <c r="F54" s="79">
        <f t="shared" si="11"/>
        <v>53377685.479999989</v>
      </c>
      <c r="G54" s="79">
        <f t="shared" si="11"/>
        <v>56677915.079999991</v>
      </c>
      <c r="H54" s="79">
        <f t="shared" si="11"/>
        <v>54984128.929999985</v>
      </c>
      <c r="I54" s="79">
        <f t="shared" si="11"/>
        <v>61037110.629999995</v>
      </c>
      <c r="J54" s="79">
        <f t="shared" si="11"/>
        <v>61730105.019999996</v>
      </c>
      <c r="K54" s="79">
        <f t="shared" si="11"/>
        <v>61737891.399999999</v>
      </c>
      <c r="L54" s="79">
        <f>SUM(L55:L68)</f>
        <v>62415818.210000008</v>
      </c>
      <c r="M54" s="79">
        <f t="shared" si="11"/>
        <v>69137412.440000013</v>
      </c>
      <c r="N54" s="99">
        <f t="shared" si="11"/>
        <v>694326420.37999988</v>
      </c>
    </row>
    <row r="55" spans="1:14" s="90" customFormat="1" ht="14.1" customHeight="1" x14ac:dyDescent="0.25">
      <c r="A55" s="83" t="s">
        <v>267</v>
      </c>
      <c r="B55" s="84">
        <v>2138713.86</v>
      </c>
      <c r="C55" s="84">
        <v>2695182.37</v>
      </c>
      <c r="D55" s="84">
        <v>2603470.3199999998</v>
      </c>
      <c r="E55" s="84">
        <v>3657066.72</v>
      </c>
      <c r="F55" s="84">
        <v>3076403.74</v>
      </c>
      <c r="G55" s="84">
        <v>3731069.29</v>
      </c>
      <c r="H55" s="84">
        <v>1827052.19</v>
      </c>
      <c r="I55" s="84">
        <v>2806495.69</v>
      </c>
      <c r="J55" s="84">
        <v>3068583.63</v>
      </c>
      <c r="K55" s="84">
        <v>3317639.46</v>
      </c>
      <c r="L55" s="84">
        <v>2822941.68</v>
      </c>
      <c r="M55" s="84">
        <v>4107177.16</v>
      </c>
      <c r="N55" s="89">
        <f>SUM(B55:M55)</f>
        <v>35851796.109999999</v>
      </c>
    </row>
    <row r="56" spans="1:14" s="90" customFormat="1" ht="14.1" customHeight="1" x14ac:dyDescent="0.25">
      <c r="A56" s="83" t="s">
        <v>268</v>
      </c>
      <c r="B56" s="84">
        <v>605333.82999999996</v>
      </c>
      <c r="C56" s="84">
        <v>689774.01</v>
      </c>
      <c r="D56" s="84">
        <v>653423.43000000005</v>
      </c>
      <c r="E56" s="84">
        <v>690791.67</v>
      </c>
      <c r="F56" s="84">
        <v>828603.92</v>
      </c>
      <c r="G56" s="84">
        <v>757932.78</v>
      </c>
      <c r="H56" s="84">
        <v>756382.29</v>
      </c>
      <c r="I56" s="84">
        <v>744598.32</v>
      </c>
      <c r="J56" s="84">
        <v>726779.6</v>
      </c>
      <c r="K56" s="84">
        <v>786943.13</v>
      </c>
      <c r="L56" s="84">
        <v>778869.39</v>
      </c>
      <c r="M56" s="84">
        <v>739730.7</v>
      </c>
      <c r="N56" s="89">
        <f t="shared" ref="N56:N66" si="12">SUM(B56:M56)</f>
        <v>8759163.0699999984</v>
      </c>
    </row>
    <row r="57" spans="1:14" s="90" customFormat="1" ht="14.1" customHeight="1" x14ac:dyDescent="0.25">
      <c r="A57" s="83" t="s">
        <v>269</v>
      </c>
      <c r="B57" s="84">
        <v>29686079.800000001</v>
      </c>
      <c r="C57" s="84">
        <v>30262669.77</v>
      </c>
      <c r="D57" s="84">
        <v>28452980.460000001</v>
      </c>
      <c r="E57" s="84">
        <v>29401919.039999999</v>
      </c>
      <c r="F57" s="84">
        <v>27712434.449999999</v>
      </c>
      <c r="G57" s="84">
        <v>29249941.43</v>
      </c>
      <c r="H57" s="84">
        <v>29730877.850000001</v>
      </c>
      <c r="I57" s="84">
        <v>32554009.530000001</v>
      </c>
      <c r="J57" s="84">
        <v>34048965.07</v>
      </c>
      <c r="K57" s="84">
        <v>34237925.659999996</v>
      </c>
      <c r="L57" s="84">
        <v>35590839.670000002</v>
      </c>
      <c r="M57" s="84">
        <v>38511135.140000001</v>
      </c>
      <c r="N57" s="89">
        <f>SUM(B57:M57)</f>
        <v>379439777.86999995</v>
      </c>
    </row>
    <row r="58" spans="1:14" s="90" customFormat="1" ht="14.1" customHeight="1" x14ac:dyDescent="0.25">
      <c r="A58" s="83" t="s">
        <v>270</v>
      </c>
      <c r="B58" s="84">
        <v>342953.74</v>
      </c>
      <c r="C58" s="84">
        <v>570456.49</v>
      </c>
      <c r="D58" s="84">
        <v>773602.83</v>
      </c>
      <c r="E58" s="84">
        <v>300417.07</v>
      </c>
      <c r="F58" s="84">
        <v>444426.47</v>
      </c>
      <c r="G58" s="84">
        <v>902528.04</v>
      </c>
      <c r="H58" s="84">
        <v>198480.83</v>
      </c>
      <c r="I58" s="84">
        <v>651090.96</v>
      </c>
      <c r="J58" s="84">
        <v>446783.23</v>
      </c>
      <c r="K58" s="84">
        <v>871474.51</v>
      </c>
      <c r="L58" s="84">
        <v>583929.55000000005</v>
      </c>
      <c r="M58" s="84">
        <v>363114.33</v>
      </c>
      <c r="N58" s="89">
        <f t="shared" si="12"/>
        <v>6449258.0499999998</v>
      </c>
    </row>
    <row r="59" spans="1:14" s="90" customFormat="1" ht="14.1" customHeight="1" x14ac:dyDescent="0.25">
      <c r="A59" s="83" t="s">
        <v>271</v>
      </c>
      <c r="B59" s="84">
        <v>9630.9500000000007</v>
      </c>
      <c r="C59" s="84">
        <v>33624.61</v>
      </c>
      <c r="D59" s="84">
        <v>7954.5</v>
      </c>
      <c r="E59" s="84">
        <v>29767.32</v>
      </c>
      <c r="F59" s="84">
        <v>19059.79</v>
      </c>
      <c r="G59" s="84">
        <v>27951.200000000001</v>
      </c>
      <c r="H59" s="84">
        <v>42221.72</v>
      </c>
      <c r="I59" s="84">
        <v>32915.78</v>
      </c>
      <c r="J59" s="84">
        <v>30938.6</v>
      </c>
      <c r="K59" s="84">
        <v>45044.84</v>
      </c>
      <c r="L59" s="84">
        <v>23188.36</v>
      </c>
      <c r="M59" s="84">
        <v>33421.120000000003</v>
      </c>
      <c r="N59" s="89">
        <f>SUM(B59:M59)</f>
        <v>335718.79000000004</v>
      </c>
    </row>
    <row r="60" spans="1:14" s="90" customFormat="1" ht="14.1" customHeight="1" x14ac:dyDescent="0.25">
      <c r="A60" s="83" t="s">
        <v>272</v>
      </c>
      <c r="B60" s="84">
        <v>63165.919999999998</v>
      </c>
      <c r="C60" s="84">
        <v>97528.95</v>
      </c>
      <c r="D60" s="84">
        <v>100826.59</v>
      </c>
      <c r="E60" s="84">
        <v>53763.42</v>
      </c>
      <c r="F60" s="84">
        <v>55588.93</v>
      </c>
      <c r="G60" s="84">
        <v>42873.79</v>
      </c>
      <c r="H60" s="84">
        <v>135546.53</v>
      </c>
      <c r="I60" s="84">
        <v>101731.93</v>
      </c>
      <c r="J60" s="84">
        <v>35884.61</v>
      </c>
      <c r="K60" s="84">
        <v>123023.05</v>
      </c>
      <c r="L60" s="84">
        <v>38654.78</v>
      </c>
      <c r="M60" s="84">
        <v>61258.38</v>
      </c>
      <c r="N60" s="89">
        <f t="shared" si="12"/>
        <v>909846.88000000012</v>
      </c>
    </row>
    <row r="61" spans="1:14" s="90" customFormat="1" ht="14.1" customHeight="1" x14ac:dyDescent="0.25">
      <c r="A61" s="83" t="s">
        <v>273</v>
      </c>
      <c r="B61" s="84">
        <v>755998.8</v>
      </c>
      <c r="C61" s="84">
        <v>859428.95</v>
      </c>
      <c r="D61" s="84">
        <v>820481.95</v>
      </c>
      <c r="E61" s="84">
        <v>739275.48</v>
      </c>
      <c r="F61" s="84">
        <v>742442.02</v>
      </c>
      <c r="G61" s="84">
        <v>857627.66</v>
      </c>
      <c r="H61" s="84">
        <v>813880.3</v>
      </c>
      <c r="I61" s="84">
        <v>845685.61</v>
      </c>
      <c r="J61" s="84">
        <f>1010174.34-176268.93</f>
        <v>833905.40999999992</v>
      </c>
      <c r="K61" s="84">
        <v>771580.18</v>
      </c>
      <c r="L61" s="84">
        <v>883431.18</v>
      </c>
      <c r="M61" s="84">
        <v>960618.52</v>
      </c>
      <c r="N61" s="89">
        <f>SUM(B61:M61)</f>
        <v>9884356.0600000005</v>
      </c>
    </row>
    <row r="62" spans="1:14" s="90" customFormat="1" ht="14.1" customHeight="1" x14ac:dyDescent="0.25">
      <c r="A62" s="83" t="s">
        <v>274</v>
      </c>
      <c r="B62" s="84">
        <v>321398.02</v>
      </c>
      <c r="C62" s="84">
        <v>320533.84999999998</v>
      </c>
      <c r="D62" s="84">
        <v>344352.29</v>
      </c>
      <c r="E62" s="84">
        <v>370560.26</v>
      </c>
      <c r="F62" s="84">
        <v>598604.06999999995</v>
      </c>
      <c r="G62" s="84">
        <v>797560.8</v>
      </c>
      <c r="H62" s="84">
        <v>662706.80000000005</v>
      </c>
      <c r="I62" s="84">
        <v>597803.18000000005</v>
      </c>
      <c r="J62" s="84">
        <v>597758.85</v>
      </c>
      <c r="K62" s="84">
        <v>753788.43</v>
      </c>
      <c r="L62" s="84">
        <v>835221.6</v>
      </c>
      <c r="M62" s="84">
        <v>880448.85</v>
      </c>
      <c r="N62" s="89">
        <f>SUM(B62:M62)</f>
        <v>7080736.9999999991</v>
      </c>
    </row>
    <row r="63" spans="1:14" s="90" customFormat="1" ht="14.1" customHeight="1" x14ac:dyDescent="0.25">
      <c r="A63" s="83" t="s">
        <v>275</v>
      </c>
      <c r="B63" s="84">
        <v>97225.89</v>
      </c>
      <c r="C63" s="84">
        <v>98294.41</v>
      </c>
      <c r="D63" s="84">
        <v>93907.21</v>
      </c>
      <c r="E63" s="84">
        <v>90511.51</v>
      </c>
      <c r="F63" s="84">
        <v>134721.62</v>
      </c>
      <c r="G63" s="84">
        <v>110317.87</v>
      </c>
      <c r="H63" s="84">
        <v>140108.01</v>
      </c>
      <c r="I63" s="84">
        <v>165401.26</v>
      </c>
      <c r="J63" s="84">
        <v>130869.96</v>
      </c>
      <c r="K63" s="84">
        <v>164931.06</v>
      </c>
      <c r="L63" s="84">
        <v>113333.69</v>
      </c>
      <c r="M63" s="84">
        <v>206331.51</v>
      </c>
      <c r="N63" s="89">
        <f>SUM(B63:M63)</f>
        <v>1545954</v>
      </c>
    </row>
    <row r="64" spans="1:14" s="90" customFormat="1" ht="13.5" customHeight="1" x14ac:dyDescent="0.25">
      <c r="A64" s="83" t="s">
        <v>276</v>
      </c>
      <c r="B64" s="84">
        <v>0</v>
      </c>
      <c r="C64" s="84">
        <v>0</v>
      </c>
      <c r="D64" s="84">
        <v>0</v>
      </c>
      <c r="E64" s="84">
        <v>3500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6971</v>
      </c>
      <c r="L64" s="84">
        <v>240</v>
      </c>
      <c r="M64" s="84">
        <v>250</v>
      </c>
      <c r="N64" s="89">
        <f>SUM(B64:M64)</f>
        <v>10961</v>
      </c>
    </row>
    <row r="65" spans="1:14" s="90" customFormat="1" ht="14.1" customHeight="1" x14ac:dyDescent="0.25">
      <c r="A65" s="83" t="s">
        <v>277</v>
      </c>
      <c r="B65" s="84">
        <v>12311087.76</v>
      </c>
      <c r="C65" s="84">
        <v>10244591.26</v>
      </c>
      <c r="D65" s="84">
        <v>16804331.91</v>
      </c>
      <c r="E65" s="84">
        <v>14182837.619999999</v>
      </c>
      <c r="F65" s="84">
        <v>13914267.51</v>
      </c>
      <c r="G65" s="84">
        <v>13854196.220000001</v>
      </c>
      <c r="H65" s="84">
        <v>13992128.01</v>
      </c>
      <c r="I65" s="84">
        <v>15750553.560000001</v>
      </c>
      <c r="J65" s="84">
        <v>15117319.789999999</v>
      </c>
      <c r="K65" s="84">
        <v>13796095.23</v>
      </c>
      <c r="L65" s="84">
        <v>12719641.050000001</v>
      </c>
      <c r="M65" s="84">
        <v>16119087.300000001</v>
      </c>
      <c r="N65" s="89">
        <f t="shared" si="12"/>
        <v>168806137.22000003</v>
      </c>
    </row>
    <row r="66" spans="1:14" s="90" customFormat="1" ht="14.1" customHeight="1" x14ac:dyDescent="0.25">
      <c r="A66" s="83" t="s">
        <v>278</v>
      </c>
      <c r="B66" s="84">
        <v>1050962.45</v>
      </c>
      <c r="C66" s="84">
        <v>930997.85</v>
      </c>
      <c r="D66" s="84">
        <v>1128842.3</v>
      </c>
      <c r="E66" s="84">
        <v>900560.08</v>
      </c>
      <c r="F66" s="84">
        <v>1214351.51</v>
      </c>
      <c r="G66" s="84">
        <v>1348111.68</v>
      </c>
      <c r="H66" s="84">
        <v>1316042.6599999999</v>
      </c>
      <c r="I66" s="84">
        <v>1117285.76</v>
      </c>
      <c r="J66" s="84">
        <v>943313.03</v>
      </c>
      <c r="K66" s="84">
        <v>1032289.96</v>
      </c>
      <c r="L66" s="84">
        <v>1218045.3799999999</v>
      </c>
      <c r="M66" s="84">
        <v>1045645.78</v>
      </c>
      <c r="N66" s="89">
        <f t="shared" si="12"/>
        <v>13246448.439999996</v>
      </c>
    </row>
    <row r="67" spans="1:14" s="90" customFormat="1" ht="14.1" customHeight="1" x14ac:dyDescent="0.25">
      <c r="A67" s="83" t="s">
        <v>279</v>
      </c>
      <c r="B67" s="84">
        <v>3498851.41</v>
      </c>
      <c r="C67" s="84">
        <v>3143843.8</v>
      </c>
      <c r="D67" s="84">
        <v>5183468.17</v>
      </c>
      <c r="E67" s="84">
        <v>4597780.29</v>
      </c>
      <c r="F67" s="84">
        <v>4629361.05</v>
      </c>
      <c r="G67" s="84">
        <v>4956210.88</v>
      </c>
      <c r="H67" s="84">
        <v>5375068.9800000004</v>
      </c>
      <c r="I67" s="84">
        <v>5668610.0499999998</v>
      </c>
      <c r="J67" s="84">
        <v>5746596.04</v>
      </c>
      <c r="K67" s="84">
        <v>5530419.0300000003</v>
      </c>
      <c r="L67" s="84">
        <v>6608173.3200000003</v>
      </c>
      <c r="M67" s="84">
        <v>5503971.2599999998</v>
      </c>
      <c r="N67" s="89">
        <f>SUM(B67:M67)</f>
        <v>60442354.279999994</v>
      </c>
    </row>
    <row r="68" spans="1:14" s="90" customFormat="1" ht="14.1" customHeight="1" x14ac:dyDescent="0.25">
      <c r="A68" s="83" t="s">
        <v>280</v>
      </c>
      <c r="B68" s="84">
        <v>910</v>
      </c>
      <c r="C68" s="84">
        <v>4712.3</v>
      </c>
      <c r="D68" s="84">
        <v>294905.32</v>
      </c>
      <c r="E68" s="84">
        <v>113104.38</v>
      </c>
      <c r="F68" s="84">
        <v>7420.4</v>
      </c>
      <c r="G68" s="84">
        <v>41593.440000000002</v>
      </c>
      <c r="H68" s="84">
        <v>-6367.24</v>
      </c>
      <c r="I68" s="84">
        <v>929</v>
      </c>
      <c r="J68" s="84">
        <v>2407.1999999999998</v>
      </c>
      <c r="K68" s="84">
        <v>299765.86</v>
      </c>
      <c r="L68" s="84">
        <v>199308.56</v>
      </c>
      <c r="M68" s="84">
        <v>605222.39</v>
      </c>
      <c r="N68" s="89">
        <f>SUM(B68:M68)</f>
        <v>1563911.6099999999</v>
      </c>
    </row>
    <row r="69" spans="1:14" s="90" customFormat="1" ht="8.1" customHeight="1" x14ac:dyDescent="0.25">
      <c r="A69" s="113"/>
      <c r="B69" s="84"/>
      <c r="C69" s="84"/>
      <c r="D69" s="84"/>
      <c r="E69" s="84"/>
      <c r="F69" s="84"/>
      <c r="G69" s="84"/>
      <c r="H69" s="84"/>
      <c r="I69" s="84"/>
      <c r="J69" s="112"/>
      <c r="K69" s="84"/>
      <c r="L69" s="84"/>
      <c r="M69" s="84"/>
      <c r="N69" s="89"/>
    </row>
    <row r="70" spans="1:14" s="90" customFormat="1" ht="14.1" customHeight="1" x14ac:dyDescent="0.25">
      <c r="A70" s="111" t="s">
        <v>192</v>
      </c>
      <c r="B70" s="79">
        <f>SUM(B71:B73)</f>
        <v>12079072.6</v>
      </c>
      <c r="C70" s="79">
        <f>SUM(C71:C73)</f>
        <v>12205303.299999999</v>
      </c>
      <c r="D70" s="79">
        <f>SUM(D71:D73)</f>
        <v>12298605.720000001</v>
      </c>
      <c r="E70" s="79">
        <f t="shared" ref="E70:M70" si="13">SUM(E71:E73)</f>
        <v>12397089.379999999</v>
      </c>
      <c r="F70" s="79">
        <f t="shared" si="13"/>
        <v>12479322.350000001</v>
      </c>
      <c r="G70" s="79">
        <f t="shared" si="13"/>
        <v>12542641.5</v>
      </c>
      <c r="H70" s="79">
        <f t="shared" si="13"/>
        <v>12575049.41</v>
      </c>
      <c r="I70" s="79">
        <f>SUM(I71:I73)</f>
        <v>12651400.560000001</v>
      </c>
      <c r="J70" s="79">
        <f t="shared" si="13"/>
        <v>13078653.66</v>
      </c>
      <c r="K70" s="79">
        <f t="shared" si="13"/>
        <v>14010280.83</v>
      </c>
      <c r="L70" s="79">
        <f t="shared" si="13"/>
        <v>14277915.859999999</v>
      </c>
      <c r="M70" s="79">
        <f t="shared" si="13"/>
        <v>14344384.540000001</v>
      </c>
      <c r="N70" s="91">
        <f>SUM(B70:M70)</f>
        <v>154939719.70999998</v>
      </c>
    </row>
    <row r="71" spans="1:14" s="90" customFormat="1" ht="14.1" customHeight="1" x14ac:dyDescent="0.25">
      <c r="A71" s="113" t="s">
        <v>238</v>
      </c>
      <c r="B71" s="84">
        <v>94551.25</v>
      </c>
      <c r="C71" s="84">
        <v>93702.77</v>
      </c>
      <c r="D71" s="84">
        <v>93696.88</v>
      </c>
      <c r="E71" s="84">
        <v>93610.61</v>
      </c>
      <c r="F71" s="84">
        <v>93477.46</v>
      </c>
      <c r="G71" s="84">
        <v>93609.55</v>
      </c>
      <c r="H71" s="84">
        <v>93609.55</v>
      </c>
      <c r="I71" s="84">
        <v>94412.55</v>
      </c>
      <c r="J71" s="84">
        <v>94412.55</v>
      </c>
      <c r="K71" s="84">
        <v>94738.11</v>
      </c>
      <c r="L71" s="84">
        <v>95038.11</v>
      </c>
      <c r="M71" s="84">
        <v>95668.71</v>
      </c>
      <c r="N71" s="89">
        <f>SUM(B71:M71)</f>
        <v>1130528.1000000001</v>
      </c>
    </row>
    <row r="72" spans="1:14" s="90" customFormat="1" ht="14.1" customHeight="1" x14ac:dyDescent="0.25">
      <c r="A72" s="113" t="s">
        <v>239</v>
      </c>
      <c r="B72" s="84">
        <v>12056500.65</v>
      </c>
      <c r="C72" s="84">
        <f>12111600.53+71979.3</f>
        <v>12183579.83</v>
      </c>
      <c r="D72" s="84">
        <v>12276888.140000001</v>
      </c>
      <c r="E72" s="84">
        <v>12375458.07</v>
      </c>
      <c r="F72" s="84">
        <f>12385844.89+71979.3</f>
        <v>12457824.190000001</v>
      </c>
      <c r="G72" s="84">
        <v>12521011.25</v>
      </c>
      <c r="H72" s="84">
        <v>12553419.16</v>
      </c>
      <c r="I72" s="84">
        <v>12724567.619999999</v>
      </c>
      <c r="J72" s="84">
        <v>12984241.109999999</v>
      </c>
      <c r="K72" s="84">
        <v>14083122.33</v>
      </c>
      <c r="L72" s="84">
        <v>14350457.359999999</v>
      </c>
      <c r="M72" s="84">
        <v>14507458.85</v>
      </c>
      <c r="N72" s="89">
        <f>SUM(B72:M72)</f>
        <v>155074528.56</v>
      </c>
    </row>
    <row r="73" spans="1:14" s="90" customFormat="1" ht="14.1" customHeight="1" x14ac:dyDescent="0.25">
      <c r="A73" s="114" t="s">
        <v>193</v>
      </c>
      <c r="B73" s="115">
        <v>-71979.3</v>
      </c>
      <c r="C73" s="115">
        <v>-71979.3</v>
      </c>
      <c r="D73" s="115">
        <v>-71979.3</v>
      </c>
      <c r="E73" s="115">
        <v>-71979.3</v>
      </c>
      <c r="F73" s="115">
        <v>-71979.3</v>
      </c>
      <c r="G73" s="115">
        <v>-71979.3</v>
      </c>
      <c r="H73" s="115">
        <v>-71979.3</v>
      </c>
      <c r="I73" s="92">
        <v>-167579.60999999999</v>
      </c>
      <c r="J73" s="115">
        <v>0</v>
      </c>
      <c r="K73" s="92">
        <v>-167579.60999999999</v>
      </c>
      <c r="L73" s="92">
        <v>-167579.60999999999</v>
      </c>
      <c r="M73" s="84">
        <v>-258743.02</v>
      </c>
      <c r="N73" s="89">
        <f>SUM(B73:M73)</f>
        <v>-1265336.95</v>
      </c>
    </row>
    <row r="74" spans="1:14" s="90" customFormat="1" ht="8.1" customHeight="1" x14ac:dyDescent="0.25">
      <c r="A74" s="114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6"/>
    </row>
    <row r="75" spans="1:14" s="90" customFormat="1" ht="15.75" thickBot="1" x14ac:dyDescent="0.3">
      <c r="A75" s="100" t="s">
        <v>194</v>
      </c>
      <c r="B75" s="101">
        <f>B54+B39+B70</f>
        <v>73557489.329999998</v>
      </c>
      <c r="C75" s="101">
        <f t="shared" ref="C75:M75" si="14">C54+C39+C70</f>
        <v>73636760.159999996</v>
      </c>
      <c r="D75" s="101">
        <f t="shared" si="14"/>
        <v>81871096.229999989</v>
      </c>
      <c r="E75" s="101">
        <f t="shared" si="14"/>
        <v>79104020.149999991</v>
      </c>
      <c r="F75" s="101">
        <f t="shared" si="14"/>
        <v>78338514.669999987</v>
      </c>
      <c r="G75" s="101">
        <f t="shared" si="14"/>
        <v>81785117.269999981</v>
      </c>
      <c r="H75" s="101">
        <f>H54+H39+H70</f>
        <v>79121704.689999983</v>
      </c>
      <c r="I75" s="101">
        <f t="shared" si="14"/>
        <v>86317417.769999996</v>
      </c>
      <c r="J75" s="101">
        <f t="shared" si="14"/>
        <v>84123724.469999999</v>
      </c>
      <c r="K75" s="101">
        <f t="shared" si="14"/>
        <v>86308129.099999994</v>
      </c>
      <c r="L75" s="101">
        <f t="shared" si="14"/>
        <v>89507389.74000001</v>
      </c>
      <c r="M75" s="101">
        <f t="shared" si="14"/>
        <v>98255671.170000017</v>
      </c>
      <c r="N75" s="102">
        <f>N54+N39+N70</f>
        <v>991927034.74999976</v>
      </c>
    </row>
    <row r="76" spans="1:14" s="90" customFormat="1" ht="9.9499999999999993" customHeight="1" thickTop="1" x14ac:dyDescent="0.25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17"/>
    </row>
    <row r="77" spans="1:14" s="77" customFormat="1" ht="27" customHeight="1" thickBot="1" x14ac:dyDescent="0.3">
      <c r="A77" s="217" t="s">
        <v>150</v>
      </c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1"/>
    </row>
    <row r="78" spans="1:14" s="77" customFormat="1" ht="15" customHeight="1" thickTop="1" x14ac:dyDescent="0.25">
      <c r="A78" s="218"/>
      <c r="B78" s="3" t="s">
        <v>88</v>
      </c>
      <c r="C78" s="3" t="s">
        <v>89</v>
      </c>
      <c r="D78" s="3" t="s">
        <v>90</v>
      </c>
      <c r="E78" s="3" t="s">
        <v>91</v>
      </c>
      <c r="F78" s="3" t="s">
        <v>92</v>
      </c>
      <c r="G78" s="3" t="s">
        <v>93</v>
      </c>
      <c r="H78" s="3" t="s">
        <v>94</v>
      </c>
      <c r="I78" s="3" t="s">
        <v>95</v>
      </c>
      <c r="J78" s="3" t="s">
        <v>96</v>
      </c>
      <c r="K78" s="3" t="s">
        <v>97</v>
      </c>
      <c r="L78" s="3" t="s">
        <v>98</v>
      </c>
      <c r="M78" s="3" t="s">
        <v>99</v>
      </c>
      <c r="N78" s="3" t="s">
        <v>12</v>
      </c>
    </row>
    <row r="79" spans="1:14" s="77" customFormat="1" ht="14.1" customHeight="1" x14ac:dyDescent="0.25">
      <c r="A79" s="83" t="s">
        <v>120</v>
      </c>
      <c r="B79" s="84">
        <f t="shared" ref="B79:M79" si="15">ROUND((B27*0.076),2)</f>
        <v>26355274.640000001</v>
      </c>
      <c r="C79" s="84">
        <f t="shared" si="15"/>
        <v>23523033.969999999</v>
      </c>
      <c r="D79" s="84">
        <f t="shared" si="15"/>
        <v>26032501.050000001</v>
      </c>
      <c r="E79" s="84">
        <f t="shared" si="15"/>
        <v>23686495</v>
      </c>
      <c r="F79" s="84">
        <f t="shared" si="15"/>
        <v>25136630.93</v>
      </c>
      <c r="G79" s="84">
        <f t="shared" si="15"/>
        <v>25510086.670000002</v>
      </c>
      <c r="H79" s="84">
        <f t="shared" si="15"/>
        <v>27730718.149999999</v>
      </c>
      <c r="I79" s="84">
        <f t="shared" si="15"/>
        <v>27134935.199999999</v>
      </c>
      <c r="J79" s="84">
        <f t="shared" si="15"/>
        <v>27737487.34</v>
      </c>
      <c r="K79" s="84">
        <f t="shared" si="15"/>
        <v>28300252.079999998</v>
      </c>
      <c r="L79" s="84">
        <f t="shared" si="15"/>
        <v>26537739.920000002</v>
      </c>
      <c r="M79" s="84">
        <f t="shared" si="15"/>
        <v>28959166.32</v>
      </c>
      <c r="N79" s="89">
        <f>SUM(B79:M79)</f>
        <v>316644321.26999998</v>
      </c>
    </row>
    <row r="80" spans="1:14" s="77" customFormat="1" ht="14.1" customHeight="1" x14ac:dyDescent="0.25">
      <c r="A80" s="83" t="s">
        <v>121</v>
      </c>
      <c r="B80" s="81">
        <f t="shared" ref="B80:M80" si="16">-ROUND((B75*0.076),2)</f>
        <v>-5590369.1900000004</v>
      </c>
      <c r="C80" s="81">
        <f t="shared" si="16"/>
        <v>-5596393.7699999996</v>
      </c>
      <c r="D80" s="81">
        <f>-ROUND((D75*0.076),2)</f>
        <v>-6222203.3099999996</v>
      </c>
      <c r="E80" s="81">
        <f t="shared" si="16"/>
        <v>-6011905.5300000003</v>
      </c>
      <c r="F80" s="81">
        <f t="shared" si="16"/>
        <v>-5953727.1100000003</v>
      </c>
      <c r="G80" s="81">
        <f t="shared" si="16"/>
        <v>-6215668.9100000001</v>
      </c>
      <c r="H80" s="81">
        <f t="shared" si="16"/>
        <v>-6013249.5599999996</v>
      </c>
      <c r="I80" s="81">
        <f t="shared" si="16"/>
        <v>-6560123.75</v>
      </c>
      <c r="J80" s="81">
        <f>-ROUND((J75*0.076),2)</f>
        <v>-6393403.0599999996</v>
      </c>
      <c r="K80" s="81">
        <f t="shared" si="16"/>
        <v>-6559417.8099999996</v>
      </c>
      <c r="L80" s="81">
        <f t="shared" si="16"/>
        <v>-6802561.6200000001</v>
      </c>
      <c r="M80" s="81">
        <f t="shared" si="16"/>
        <v>-7467431.0099999998</v>
      </c>
      <c r="N80" s="98">
        <f>SUM(B80:M80)</f>
        <v>-75386454.63000001</v>
      </c>
    </row>
    <row r="81" spans="1:14" s="90" customFormat="1" ht="8.1" customHeight="1" x14ac:dyDescent="0.25">
      <c r="A81" s="78"/>
      <c r="B81" s="84"/>
      <c r="C81" s="84"/>
      <c r="D81" s="84"/>
      <c r="E81" s="84"/>
      <c r="F81" s="84"/>
      <c r="G81" s="84"/>
      <c r="H81" s="79"/>
      <c r="I81" s="79"/>
      <c r="J81" s="79"/>
      <c r="K81" s="79"/>
      <c r="L81" s="79"/>
      <c r="M81" s="79"/>
      <c r="N81" s="91"/>
    </row>
    <row r="82" spans="1:14" s="90" customFormat="1" ht="14.1" customHeight="1" x14ac:dyDescent="0.25">
      <c r="A82" s="78" t="s">
        <v>122</v>
      </c>
      <c r="B82" s="79">
        <f>SUM(B79:B81)</f>
        <v>20764905.449999999</v>
      </c>
      <c r="C82" s="79">
        <f t="shared" ref="C82:M82" si="17">SUM(C79:C81)</f>
        <v>17926640.199999999</v>
      </c>
      <c r="D82" s="79">
        <f>SUM(D79:D81)</f>
        <v>19810297.740000002</v>
      </c>
      <c r="E82" s="79">
        <f>SUM(E79:E81)</f>
        <v>17674589.469999999</v>
      </c>
      <c r="F82" s="79">
        <f t="shared" si="17"/>
        <v>19182903.82</v>
      </c>
      <c r="G82" s="79">
        <f t="shared" si="17"/>
        <v>19294417.760000002</v>
      </c>
      <c r="H82" s="79">
        <f t="shared" si="17"/>
        <v>21717468.59</v>
      </c>
      <c r="I82" s="79">
        <f t="shared" si="17"/>
        <v>20574811.449999999</v>
      </c>
      <c r="J82" s="79">
        <f>SUM(J79:J81)</f>
        <v>21344084.280000001</v>
      </c>
      <c r="K82" s="79">
        <f t="shared" si="17"/>
        <v>21740834.27</v>
      </c>
      <c r="L82" s="79">
        <f t="shared" si="17"/>
        <v>19735178.300000001</v>
      </c>
      <c r="M82" s="79">
        <f t="shared" si="17"/>
        <v>21491735.310000002</v>
      </c>
      <c r="N82" s="99">
        <f>SUM(N79:N81)</f>
        <v>241257866.63999999</v>
      </c>
    </row>
    <row r="83" spans="1:14" s="90" customFormat="1" ht="8.1" customHeight="1" x14ac:dyDescent="0.25">
      <c r="A83" s="78"/>
      <c r="B83" s="84"/>
      <c r="C83" s="84"/>
      <c r="D83" s="84"/>
      <c r="E83" s="84"/>
      <c r="F83" s="84"/>
      <c r="G83" s="84"/>
      <c r="H83" s="79"/>
      <c r="I83" s="79"/>
      <c r="J83" s="79"/>
      <c r="K83" s="79"/>
      <c r="L83" s="79"/>
      <c r="M83" s="79"/>
      <c r="N83" s="91"/>
    </row>
    <row r="84" spans="1:14" s="77" customFormat="1" ht="14.1" customHeight="1" x14ac:dyDescent="0.25">
      <c r="A84" s="83" t="s">
        <v>123</v>
      </c>
      <c r="B84" s="84">
        <f t="shared" ref="B84:M84" si="18">ROUND((B34*0.04),2)</f>
        <v>328632.52</v>
      </c>
      <c r="C84" s="84">
        <f t="shared" si="18"/>
        <v>320032.84000000003</v>
      </c>
      <c r="D84" s="84">
        <f t="shared" si="18"/>
        <v>377170.11</v>
      </c>
      <c r="E84" s="84">
        <f t="shared" si="18"/>
        <v>324616.15999999997</v>
      </c>
      <c r="F84" s="84">
        <f t="shared" si="18"/>
        <v>378393.86</v>
      </c>
      <c r="G84" s="84">
        <f t="shared" si="18"/>
        <v>282999.42</v>
      </c>
      <c r="H84" s="84">
        <f t="shared" si="18"/>
        <v>212365.57</v>
      </c>
      <c r="I84" s="84">
        <f t="shared" si="18"/>
        <v>402194.35</v>
      </c>
      <c r="J84" s="84">
        <f t="shared" si="18"/>
        <v>182080.63</v>
      </c>
      <c r="K84" s="84">
        <f t="shared" si="18"/>
        <v>191923.7</v>
      </c>
      <c r="L84" s="84">
        <f t="shared" si="18"/>
        <v>185583.23</v>
      </c>
      <c r="M84" s="84">
        <f t="shared" si="18"/>
        <v>183618.31</v>
      </c>
      <c r="N84" s="89">
        <f>SUM(B84:M84)</f>
        <v>3369610.7</v>
      </c>
    </row>
    <row r="85" spans="1:14" s="90" customFormat="1" ht="14.1" customHeight="1" x14ac:dyDescent="0.25">
      <c r="A85" s="78" t="s">
        <v>124</v>
      </c>
      <c r="B85" s="79">
        <f>B84</f>
        <v>328632.52</v>
      </c>
      <c r="C85" s="79">
        <f t="shared" ref="C85:M85" si="19">C84</f>
        <v>320032.84000000003</v>
      </c>
      <c r="D85" s="79">
        <f t="shared" si="19"/>
        <v>377170.11</v>
      </c>
      <c r="E85" s="79">
        <f>E84</f>
        <v>324616.15999999997</v>
      </c>
      <c r="F85" s="79">
        <f t="shared" si="19"/>
        <v>378393.86</v>
      </c>
      <c r="G85" s="79">
        <f t="shared" si="19"/>
        <v>282999.42</v>
      </c>
      <c r="H85" s="79">
        <f t="shared" si="19"/>
        <v>212365.57</v>
      </c>
      <c r="I85" s="79">
        <f t="shared" si="19"/>
        <v>402194.35</v>
      </c>
      <c r="J85" s="79">
        <f t="shared" si="19"/>
        <v>182080.63</v>
      </c>
      <c r="K85" s="79">
        <f t="shared" si="19"/>
        <v>191923.7</v>
      </c>
      <c r="L85" s="79">
        <f t="shared" si="19"/>
        <v>185583.23</v>
      </c>
      <c r="M85" s="79">
        <f t="shared" si="19"/>
        <v>183618.31</v>
      </c>
      <c r="N85" s="91">
        <f>SUM(B85:M85)</f>
        <v>3369610.7</v>
      </c>
    </row>
    <row r="86" spans="1:14" s="90" customFormat="1" ht="8.1" customHeight="1" x14ac:dyDescent="0.25">
      <c r="A86" s="78"/>
      <c r="B86" s="84"/>
      <c r="C86" s="84"/>
      <c r="D86" s="84"/>
      <c r="E86" s="84"/>
      <c r="F86" s="84"/>
      <c r="G86" s="84"/>
      <c r="H86" s="79"/>
      <c r="I86" s="79"/>
      <c r="J86" s="79"/>
      <c r="K86" s="79"/>
      <c r="L86" s="79"/>
      <c r="M86" s="79"/>
      <c r="N86" s="91"/>
    </row>
    <row r="87" spans="1:14" s="90" customFormat="1" ht="14.1" customHeight="1" x14ac:dyDescent="0.25">
      <c r="A87" s="78" t="s">
        <v>125</v>
      </c>
      <c r="B87" s="118">
        <f>B82+B85</f>
        <v>21093537.969999999</v>
      </c>
      <c r="C87" s="118">
        <f t="shared" ref="C87:M87" si="20">C82+C85</f>
        <v>18246673.039999999</v>
      </c>
      <c r="D87" s="118">
        <f t="shared" si="20"/>
        <v>20187467.850000001</v>
      </c>
      <c r="E87" s="118">
        <f>E82+E85</f>
        <v>17999205.629999999</v>
      </c>
      <c r="F87" s="118">
        <f t="shared" si="20"/>
        <v>19561297.68</v>
      </c>
      <c r="G87" s="118">
        <f t="shared" si="20"/>
        <v>19577417.180000003</v>
      </c>
      <c r="H87" s="118">
        <f t="shared" si="20"/>
        <v>21929834.16</v>
      </c>
      <c r="I87" s="118">
        <f t="shared" si="20"/>
        <v>20977005.800000001</v>
      </c>
      <c r="J87" s="118">
        <f>J82+J85</f>
        <v>21526164.91</v>
      </c>
      <c r="K87" s="118">
        <f t="shared" si="20"/>
        <v>21932757.969999999</v>
      </c>
      <c r="L87" s="118">
        <f t="shared" si="20"/>
        <v>19920761.530000001</v>
      </c>
      <c r="M87" s="118">
        <f t="shared" si="20"/>
        <v>21675353.620000001</v>
      </c>
      <c r="N87" s="119">
        <f>SUM(B87:M87)</f>
        <v>244627477.34</v>
      </c>
    </row>
    <row r="88" spans="1:14" s="90" customFormat="1" ht="8.1" customHeight="1" x14ac:dyDescent="0.25">
      <c r="A88" s="78"/>
      <c r="B88" s="84"/>
      <c r="C88" s="84"/>
      <c r="D88" s="84"/>
      <c r="E88" s="84"/>
      <c r="F88" s="84"/>
      <c r="G88" s="84"/>
      <c r="H88" s="79"/>
      <c r="I88" s="79"/>
      <c r="J88" s="79"/>
      <c r="K88" s="79"/>
      <c r="L88" s="79"/>
      <c r="M88" s="79"/>
      <c r="N88" s="120"/>
    </row>
    <row r="89" spans="1:14" s="90" customFormat="1" ht="14.1" customHeight="1" x14ac:dyDescent="0.25">
      <c r="A89" s="78" t="s">
        <v>126</v>
      </c>
      <c r="B89" s="80">
        <v>-44897.31</v>
      </c>
      <c r="C89" s="80">
        <v>-24752.45</v>
      </c>
      <c r="D89" s="80">
        <v>-47318.400000000001</v>
      </c>
      <c r="E89" s="80">
        <v>-35179.300000000003</v>
      </c>
      <c r="F89" s="80">
        <v>-39578.629999999997</v>
      </c>
      <c r="G89" s="80">
        <v>-45262.96</v>
      </c>
      <c r="H89" s="80">
        <v>-46919.34</v>
      </c>
      <c r="I89" s="80">
        <v>-44758.04</v>
      </c>
      <c r="J89" s="80">
        <v>-31368.01</v>
      </c>
      <c r="K89" s="80">
        <v>-44305.42</v>
      </c>
      <c r="L89" s="80">
        <v>-44064.87</v>
      </c>
      <c r="M89" s="80">
        <v>-59060.29</v>
      </c>
      <c r="N89" s="120">
        <f>SUM(B89:M89)</f>
        <v>-507465.01999999996</v>
      </c>
    </row>
    <row r="90" spans="1:14" s="90" customFormat="1" ht="14.1" customHeight="1" x14ac:dyDescent="0.25">
      <c r="A90" s="78" t="s">
        <v>127</v>
      </c>
      <c r="B90" s="79">
        <v>0</v>
      </c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91">
        <f>SUM(B90:M90)</f>
        <v>0</v>
      </c>
    </row>
    <row r="91" spans="1:14" s="90" customFormat="1" ht="8.1" customHeight="1" x14ac:dyDescent="0.25">
      <c r="A91" s="78"/>
      <c r="B91" s="84"/>
      <c r="C91" s="84"/>
      <c r="D91" s="84"/>
      <c r="E91" s="84"/>
      <c r="F91" s="84"/>
      <c r="G91" s="84"/>
      <c r="H91" s="80"/>
      <c r="I91" s="80"/>
      <c r="J91" s="80"/>
      <c r="K91" s="80"/>
      <c r="L91" s="80"/>
      <c r="M91" s="80"/>
      <c r="N91" s="120"/>
    </row>
    <row r="92" spans="1:14" s="77" customFormat="1" ht="14.1" customHeight="1" x14ac:dyDescent="0.25">
      <c r="A92" s="78" t="s">
        <v>128</v>
      </c>
      <c r="B92" s="118">
        <f>B87+B89</f>
        <v>21048640.66</v>
      </c>
      <c r="C92" s="118">
        <f t="shared" ref="C92:M92" si="21">C87+C89</f>
        <v>18221920.59</v>
      </c>
      <c r="D92" s="118">
        <f t="shared" si="21"/>
        <v>20140149.450000003</v>
      </c>
      <c r="E92" s="118">
        <f>E87+E89</f>
        <v>17964026.329999998</v>
      </c>
      <c r="F92" s="118">
        <f t="shared" si="21"/>
        <v>19521719.050000001</v>
      </c>
      <c r="G92" s="118">
        <f t="shared" si="21"/>
        <v>19532154.220000003</v>
      </c>
      <c r="H92" s="118">
        <f t="shared" si="21"/>
        <v>21882914.82</v>
      </c>
      <c r="I92" s="118">
        <f t="shared" si="21"/>
        <v>20932247.760000002</v>
      </c>
      <c r="J92" s="118">
        <f>J87+J89</f>
        <v>21494796.899999999</v>
      </c>
      <c r="K92" s="118">
        <f t="shared" si="21"/>
        <v>21888452.549999997</v>
      </c>
      <c r="L92" s="118">
        <f t="shared" si="21"/>
        <v>19876696.66</v>
      </c>
      <c r="M92" s="118">
        <f t="shared" si="21"/>
        <v>21616293.330000002</v>
      </c>
      <c r="N92" s="119">
        <f>SUM(B92:M92)</f>
        <v>244120012.31999999</v>
      </c>
    </row>
    <row r="93" spans="1:14" s="77" customFormat="1" ht="8.1" customHeight="1" x14ac:dyDescent="0.25">
      <c r="A93" s="78"/>
      <c r="B93" s="84"/>
      <c r="C93" s="84"/>
      <c r="D93" s="84"/>
      <c r="E93" s="84"/>
      <c r="F93" s="84"/>
      <c r="G93" s="84"/>
      <c r="H93" s="79"/>
      <c r="I93" s="79"/>
      <c r="J93" s="79"/>
      <c r="K93" s="79"/>
      <c r="L93" s="79"/>
      <c r="M93" s="79"/>
      <c r="N93" s="91"/>
    </row>
    <row r="94" spans="1:14" s="77" customFormat="1" ht="14.1" customHeight="1" x14ac:dyDescent="0.25">
      <c r="A94" s="78" t="s">
        <v>129</v>
      </c>
      <c r="B94" s="79">
        <v>0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91">
        <f>SUM(B94:M94)</f>
        <v>0</v>
      </c>
    </row>
    <row r="95" spans="1:14" s="77" customFormat="1" ht="8.1" customHeight="1" thickBot="1" x14ac:dyDescent="0.3">
      <c r="A95" s="78"/>
      <c r="B95" s="121"/>
      <c r="C95" s="121"/>
      <c r="D95" s="121"/>
      <c r="E95" s="121"/>
      <c r="F95" s="121"/>
      <c r="G95" s="121"/>
      <c r="H95" s="79"/>
      <c r="I95" s="79"/>
      <c r="J95" s="79"/>
      <c r="K95" s="79"/>
      <c r="L95" s="79"/>
      <c r="M95" s="79"/>
      <c r="N95" s="91"/>
    </row>
    <row r="96" spans="1:14" s="77" customFormat="1" ht="16.5" thickTop="1" thickBot="1" x14ac:dyDescent="0.3">
      <c r="A96" s="100" t="s">
        <v>130</v>
      </c>
      <c r="B96" s="101">
        <f>+B92+B94</f>
        <v>21048640.66</v>
      </c>
      <c r="C96" s="101">
        <f t="shared" ref="C96:M96" si="22">+C92+C94</f>
        <v>18221920.59</v>
      </c>
      <c r="D96" s="101">
        <f>+D92+D94</f>
        <v>20140149.450000003</v>
      </c>
      <c r="E96" s="101">
        <f>+E92+E94</f>
        <v>17964026.329999998</v>
      </c>
      <c r="F96" s="101">
        <f t="shared" si="22"/>
        <v>19521719.050000001</v>
      </c>
      <c r="G96" s="101">
        <f t="shared" si="22"/>
        <v>19532154.220000003</v>
      </c>
      <c r="H96" s="101">
        <f t="shared" si="22"/>
        <v>21882914.82</v>
      </c>
      <c r="I96" s="101">
        <f t="shared" si="22"/>
        <v>20932247.760000002</v>
      </c>
      <c r="J96" s="101">
        <f>+J92+J94</f>
        <v>21494796.899999999</v>
      </c>
      <c r="K96" s="101">
        <f t="shared" si="22"/>
        <v>21888452.549999997</v>
      </c>
      <c r="L96" s="101">
        <f t="shared" si="22"/>
        <v>19876696.66</v>
      </c>
      <c r="M96" s="101">
        <f t="shared" si="22"/>
        <v>21616293.330000002</v>
      </c>
      <c r="N96" s="102">
        <f>N92+N94</f>
        <v>244120012.31999999</v>
      </c>
    </row>
    <row r="97" spans="1:14" s="77" customFormat="1" ht="9.9499999999999993" customHeight="1" thickTop="1" x14ac:dyDescent="0.25">
      <c r="A97" s="90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22"/>
      <c r="M97" s="122"/>
      <c r="N97" s="117"/>
    </row>
    <row r="98" spans="1:14" s="123" customFormat="1" ht="27" customHeight="1" thickBot="1" x14ac:dyDescent="0.3">
      <c r="A98" s="217" t="s">
        <v>131</v>
      </c>
      <c r="B98" s="219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1"/>
    </row>
    <row r="99" spans="1:14" s="77" customFormat="1" ht="12" customHeight="1" thickTop="1" x14ac:dyDescent="0.25">
      <c r="A99" s="218"/>
      <c r="B99" s="3" t="s">
        <v>88</v>
      </c>
      <c r="C99" s="3" t="s">
        <v>89</v>
      </c>
      <c r="D99" s="3" t="s">
        <v>90</v>
      </c>
      <c r="E99" s="3" t="s">
        <v>91</v>
      </c>
      <c r="F99" s="3" t="s">
        <v>92</v>
      </c>
      <c r="G99" s="3" t="s">
        <v>93</v>
      </c>
      <c r="H99" s="3" t="s">
        <v>94</v>
      </c>
      <c r="I99" s="3" t="s">
        <v>95</v>
      </c>
      <c r="J99" s="3" t="s">
        <v>96</v>
      </c>
      <c r="K99" s="3" t="s">
        <v>97</v>
      </c>
      <c r="L99" s="3" t="s">
        <v>98</v>
      </c>
      <c r="M99" s="3" t="s">
        <v>99</v>
      </c>
      <c r="N99" s="3" t="s">
        <v>12</v>
      </c>
    </row>
    <row r="100" spans="1:14" s="77" customFormat="1" ht="14.1" customHeight="1" x14ac:dyDescent="0.25">
      <c r="A100" s="113" t="s">
        <v>132</v>
      </c>
      <c r="B100" s="84">
        <f t="shared" ref="B100:M100" si="23">ROUND((B27*0.0165),2)</f>
        <v>5721868.8399999999</v>
      </c>
      <c r="C100" s="84">
        <f t="shared" si="23"/>
        <v>5106974.4800000004</v>
      </c>
      <c r="D100" s="84">
        <f t="shared" si="23"/>
        <v>5651792.9900000002</v>
      </c>
      <c r="E100" s="84">
        <f t="shared" si="23"/>
        <v>5142462.7300000004</v>
      </c>
      <c r="F100" s="84">
        <f t="shared" si="23"/>
        <v>5457294.8700000001</v>
      </c>
      <c r="G100" s="84">
        <f t="shared" si="23"/>
        <v>5538374.0800000001</v>
      </c>
      <c r="H100" s="84">
        <f t="shared" si="23"/>
        <v>6020484.8600000003</v>
      </c>
      <c r="I100" s="84">
        <f t="shared" si="23"/>
        <v>5891137.25</v>
      </c>
      <c r="J100" s="84">
        <f t="shared" si="23"/>
        <v>6021954.4900000002</v>
      </c>
      <c r="K100" s="84">
        <f t="shared" si="23"/>
        <v>6144133.6699999999</v>
      </c>
      <c r="L100" s="84">
        <f t="shared" si="23"/>
        <v>5761483.0099999998</v>
      </c>
      <c r="M100" s="84">
        <f t="shared" si="23"/>
        <v>6287187.4199999999</v>
      </c>
      <c r="N100" s="89">
        <f>SUM(B100:M100)</f>
        <v>68745148.689999998</v>
      </c>
    </row>
    <row r="101" spans="1:14" s="77" customFormat="1" ht="14.1" customHeight="1" x14ac:dyDescent="0.25">
      <c r="A101" s="83" t="s">
        <v>133</v>
      </c>
      <c r="B101" s="81">
        <f t="shared" ref="B101:M101" si="24">-ROUND(B75*0.0165,2)</f>
        <v>-1213698.57</v>
      </c>
      <c r="C101" s="81">
        <f t="shared" si="24"/>
        <v>-1215006.54</v>
      </c>
      <c r="D101" s="81">
        <f t="shared" si="24"/>
        <v>-1350873.09</v>
      </c>
      <c r="E101" s="81">
        <f t="shared" si="24"/>
        <v>-1305216.33</v>
      </c>
      <c r="F101" s="81">
        <f t="shared" si="24"/>
        <v>-1292585.49</v>
      </c>
      <c r="G101" s="81">
        <f t="shared" si="24"/>
        <v>-1349454.43</v>
      </c>
      <c r="H101" s="81">
        <f t="shared" si="24"/>
        <v>-1305508.1299999999</v>
      </c>
      <c r="I101" s="81">
        <f t="shared" si="24"/>
        <v>-1424237.39</v>
      </c>
      <c r="J101" s="81">
        <f t="shared" si="24"/>
        <v>-1388041.45</v>
      </c>
      <c r="K101" s="81">
        <f t="shared" si="24"/>
        <v>-1424084.13</v>
      </c>
      <c r="L101" s="81">
        <f t="shared" si="24"/>
        <v>-1476871.93</v>
      </c>
      <c r="M101" s="84">
        <f t="shared" si="24"/>
        <v>-1621218.57</v>
      </c>
      <c r="N101" s="98">
        <f>SUM(B101:M101)</f>
        <v>-16366796.050000001</v>
      </c>
    </row>
    <row r="102" spans="1:14" s="77" customFormat="1" ht="8.1" customHeight="1" x14ac:dyDescent="0.25">
      <c r="A102" s="111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91"/>
    </row>
    <row r="103" spans="1:14" s="90" customFormat="1" ht="14.1" customHeight="1" x14ac:dyDescent="0.25">
      <c r="A103" s="111" t="s">
        <v>134</v>
      </c>
      <c r="B103" s="79">
        <f>SUM(B100:B102)</f>
        <v>4508170.2699999996</v>
      </c>
      <c r="C103" s="79">
        <f t="shared" ref="C103:N103" si="25">SUM(C100:C102)</f>
        <v>3891967.9400000004</v>
      </c>
      <c r="D103" s="79">
        <f t="shared" si="25"/>
        <v>4300919.9000000004</v>
      </c>
      <c r="E103" s="79">
        <f>SUM(E100:E102)</f>
        <v>3837246.4000000004</v>
      </c>
      <c r="F103" s="79">
        <f t="shared" si="25"/>
        <v>4164709.38</v>
      </c>
      <c r="G103" s="79">
        <f t="shared" si="25"/>
        <v>4188919.6500000004</v>
      </c>
      <c r="H103" s="79">
        <f t="shared" si="25"/>
        <v>4714976.7300000004</v>
      </c>
      <c r="I103" s="79">
        <f t="shared" si="25"/>
        <v>4466899.8600000003</v>
      </c>
      <c r="J103" s="79">
        <f>SUM(J100:J102)</f>
        <v>4633913.04</v>
      </c>
      <c r="K103" s="79">
        <f t="shared" si="25"/>
        <v>4720049.54</v>
      </c>
      <c r="L103" s="79">
        <f t="shared" si="25"/>
        <v>4284611.08</v>
      </c>
      <c r="M103" s="79">
        <f t="shared" si="25"/>
        <v>4665968.8499999996</v>
      </c>
      <c r="N103" s="99">
        <f t="shared" si="25"/>
        <v>52378352.640000001</v>
      </c>
    </row>
    <row r="104" spans="1:14" s="77" customFormat="1" ht="8.1" customHeight="1" x14ac:dyDescent="0.25">
      <c r="A104" s="111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91"/>
    </row>
    <row r="105" spans="1:14" s="77" customFormat="1" ht="14.1" customHeight="1" x14ac:dyDescent="0.25">
      <c r="A105" s="113" t="s">
        <v>135</v>
      </c>
      <c r="B105" s="84">
        <f>ROUND((B34*0.0065),2)</f>
        <v>53402.78</v>
      </c>
      <c r="C105" s="84">
        <f t="shared" ref="C105:M105" si="26">ROUND((C34*0.0065),2)</f>
        <v>52005.34</v>
      </c>
      <c r="D105" s="84">
        <f t="shared" si="26"/>
        <v>61290.14</v>
      </c>
      <c r="E105" s="84">
        <f t="shared" si="26"/>
        <v>52750.13</v>
      </c>
      <c r="F105" s="84">
        <f t="shared" si="26"/>
        <v>61489</v>
      </c>
      <c r="G105" s="84">
        <f t="shared" si="26"/>
        <v>45987.41</v>
      </c>
      <c r="H105" s="84">
        <f t="shared" si="26"/>
        <v>34509.410000000003</v>
      </c>
      <c r="I105" s="84">
        <f t="shared" si="26"/>
        <v>65356.58</v>
      </c>
      <c r="J105" s="84">
        <f t="shared" si="26"/>
        <v>29588.1</v>
      </c>
      <c r="K105" s="84">
        <f t="shared" si="26"/>
        <v>31187.599999999999</v>
      </c>
      <c r="L105" s="84">
        <f t="shared" si="26"/>
        <v>30157.279999999999</v>
      </c>
      <c r="M105" s="84">
        <f t="shared" si="26"/>
        <v>29837.98</v>
      </c>
      <c r="N105" s="89">
        <f>SUM(B105:M105)</f>
        <v>547561.75</v>
      </c>
    </row>
    <row r="106" spans="1:14" s="77" customFormat="1" ht="14.1" customHeight="1" x14ac:dyDescent="0.25">
      <c r="A106" s="111" t="s">
        <v>136</v>
      </c>
      <c r="B106" s="79">
        <f>B105</f>
        <v>53402.78</v>
      </c>
      <c r="C106" s="79">
        <f t="shared" ref="C106:N106" si="27">C105</f>
        <v>52005.34</v>
      </c>
      <c r="D106" s="79">
        <f t="shared" si="27"/>
        <v>61290.14</v>
      </c>
      <c r="E106" s="79">
        <f>E105</f>
        <v>52750.13</v>
      </c>
      <c r="F106" s="79">
        <f t="shared" si="27"/>
        <v>61489</v>
      </c>
      <c r="G106" s="79">
        <f t="shared" si="27"/>
        <v>45987.41</v>
      </c>
      <c r="H106" s="79">
        <f t="shared" si="27"/>
        <v>34509.410000000003</v>
      </c>
      <c r="I106" s="79">
        <f t="shared" si="27"/>
        <v>65356.58</v>
      </c>
      <c r="J106" s="79">
        <f t="shared" si="27"/>
        <v>29588.1</v>
      </c>
      <c r="K106" s="79">
        <f t="shared" si="27"/>
        <v>31187.599999999999</v>
      </c>
      <c r="L106" s="79">
        <f t="shared" si="27"/>
        <v>30157.279999999999</v>
      </c>
      <c r="M106" s="79">
        <f t="shared" si="27"/>
        <v>29837.98</v>
      </c>
      <c r="N106" s="99">
        <f t="shared" si="27"/>
        <v>547561.75</v>
      </c>
    </row>
    <row r="107" spans="1:14" s="77" customFormat="1" ht="8.1" customHeight="1" x14ac:dyDescent="0.25">
      <c r="A107" s="111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91"/>
    </row>
    <row r="108" spans="1:14" s="77" customFormat="1" ht="14.1" customHeight="1" x14ac:dyDescent="0.25">
      <c r="A108" s="78" t="s">
        <v>137</v>
      </c>
      <c r="B108" s="118">
        <f>B103+B106</f>
        <v>4561573.05</v>
      </c>
      <c r="C108" s="118">
        <f t="shared" ref="C108:M108" si="28">C103+C106</f>
        <v>3943973.2800000003</v>
      </c>
      <c r="D108" s="118">
        <f t="shared" si="28"/>
        <v>4362210.04</v>
      </c>
      <c r="E108" s="118">
        <f>E103+E106</f>
        <v>3889996.5300000003</v>
      </c>
      <c r="F108" s="118">
        <f t="shared" si="28"/>
        <v>4226198.38</v>
      </c>
      <c r="G108" s="118">
        <f t="shared" si="28"/>
        <v>4234907.0600000005</v>
      </c>
      <c r="H108" s="118">
        <f t="shared" si="28"/>
        <v>4749486.1400000006</v>
      </c>
      <c r="I108" s="118">
        <f t="shared" si="28"/>
        <v>4532256.4400000004</v>
      </c>
      <c r="J108" s="118">
        <f>J103+J106</f>
        <v>4663501.1399999997</v>
      </c>
      <c r="K108" s="118">
        <f t="shared" si="28"/>
        <v>4751237.1399999997</v>
      </c>
      <c r="L108" s="118">
        <f t="shared" si="28"/>
        <v>4314768.3600000003</v>
      </c>
      <c r="M108" s="118">
        <f t="shared" si="28"/>
        <v>4695806.83</v>
      </c>
      <c r="N108" s="119">
        <f>N103+N106</f>
        <v>52925914.390000001</v>
      </c>
    </row>
    <row r="109" spans="1:14" s="77" customFormat="1" ht="8.1" customHeight="1" x14ac:dyDescent="0.25">
      <c r="A109" s="78"/>
      <c r="B109" s="79"/>
      <c r="C109" s="79"/>
      <c r="D109" s="79"/>
      <c r="E109" s="79"/>
      <c r="F109" s="79"/>
      <c r="G109" s="79"/>
      <c r="H109" s="80"/>
      <c r="I109" s="80"/>
      <c r="J109" s="80"/>
      <c r="K109" s="80"/>
      <c r="L109" s="80"/>
      <c r="M109" s="80"/>
      <c r="N109" s="91"/>
    </row>
    <row r="110" spans="1:14" s="77" customFormat="1" ht="14.1" customHeight="1" x14ac:dyDescent="0.25">
      <c r="A110" s="78" t="s">
        <v>126</v>
      </c>
      <c r="B110" s="80">
        <v>-9727.4599999999991</v>
      </c>
      <c r="C110" s="80">
        <v>-5362.78</v>
      </c>
      <c r="D110" s="80">
        <v>-10252.1</v>
      </c>
      <c r="E110" s="80">
        <v>-7622.01</v>
      </c>
      <c r="F110" s="80">
        <v>-8575.18</v>
      </c>
      <c r="G110" s="80">
        <v>-9806.81</v>
      </c>
      <c r="H110" s="80">
        <v>-10165.58</v>
      </c>
      <c r="I110" s="80">
        <v>-9697.2800000000007</v>
      </c>
      <c r="J110" s="80">
        <v>-6796.12</v>
      </c>
      <c r="K110" s="80">
        <v>-9599.2999999999993</v>
      </c>
      <c r="L110" s="80">
        <v>-9547.17</v>
      </c>
      <c r="M110" s="80">
        <v>-12796.13</v>
      </c>
      <c r="N110" s="120">
        <f>SUM(B110:M110)</f>
        <v>-109947.92</v>
      </c>
    </row>
    <row r="111" spans="1:14" s="77" customFormat="1" ht="14.1" customHeight="1" x14ac:dyDescent="0.25">
      <c r="A111" s="111" t="s">
        <v>127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91">
        <f>SUM(B111:M111)</f>
        <v>0</v>
      </c>
    </row>
    <row r="112" spans="1:14" s="77" customFormat="1" ht="8.1" customHeight="1" x14ac:dyDescent="0.25">
      <c r="A112" s="111"/>
      <c r="B112" s="79"/>
      <c r="C112" s="79"/>
      <c r="D112" s="79"/>
      <c r="E112" s="79"/>
      <c r="F112" s="79"/>
      <c r="G112" s="79"/>
      <c r="H112" s="80"/>
      <c r="I112" s="80"/>
      <c r="J112" s="80"/>
      <c r="K112" s="80"/>
      <c r="L112" s="84"/>
      <c r="M112" s="84"/>
      <c r="N112" s="120"/>
    </row>
    <row r="113" spans="1:14" s="77" customFormat="1" ht="14.1" customHeight="1" x14ac:dyDescent="0.25">
      <c r="A113" s="111" t="s">
        <v>138</v>
      </c>
      <c r="B113" s="118">
        <f>B108+B110</f>
        <v>4551845.59</v>
      </c>
      <c r="C113" s="118">
        <f t="shared" ref="C113:M113" si="29">C108+C110</f>
        <v>3938610.5000000005</v>
      </c>
      <c r="D113" s="118">
        <f t="shared" si="29"/>
        <v>4351957.9400000004</v>
      </c>
      <c r="E113" s="118">
        <f>E108+E110</f>
        <v>3882374.5200000005</v>
      </c>
      <c r="F113" s="118">
        <f t="shared" si="29"/>
        <v>4217623.2</v>
      </c>
      <c r="G113" s="118">
        <f t="shared" si="29"/>
        <v>4225100.2500000009</v>
      </c>
      <c r="H113" s="118">
        <f t="shared" si="29"/>
        <v>4739320.5600000005</v>
      </c>
      <c r="I113" s="118">
        <f t="shared" si="29"/>
        <v>4522559.16</v>
      </c>
      <c r="J113" s="118">
        <f t="shared" si="29"/>
        <v>4656705.0199999996</v>
      </c>
      <c r="K113" s="118">
        <f t="shared" si="29"/>
        <v>4741637.84</v>
      </c>
      <c r="L113" s="118">
        <f t="shared" si="29"/>
        <v>4305221.1900000004</v>
      </c>
      <c r="M113" s="118">
        <f t="shared" si="29"/>
        <v>4683010.7</v>
      </c>
      <c r="N113" s="119">
        <f>SUM(B113:M113)</f>
        <v>52815966.469999999</v>
      </c>
    </row>
    <row r="114" spans="1:14" s="77" customFormat="1" ht="8.1" customHeight="1" x14ac:dyDescent="0.25">
      <c r="A114" s="111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91"/>
    </row>
    <row r="115" spans="1:14" s="77" customFormat="1" ht="14.1" customHeight="1" x14ac:dyDescent="0.25">
      <c r="A115" s="78" t="s">
        <v>129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79">
        <v>0</v>
      </c>
      <c r="N115" s="91">
        <f>SUM(B115:M115)</f>
        <v>0</v>
      </c>
    </row>
    <row r="116" spans="1:14" s="77" customFormat="1" ht="8.1" customHeight="1" x14ac:dyDescent="0.25">
      <c r="A116" s="78"/>
      <c r="B116" s="79"/>
      <c r="C116" s="79"/>
      <c r="D116" s="79"/>
      <c r="E116" s="79"/>
      <c r="F116" s="79"/>
      <c r="G116" s="79"/>
      <c r="H116" s="124"/>
      <c r="I116" s="124"/>
      <c r="J116" s="124"/>
      <c r="K116" s="124"/>
      <c r="L116" s="124"/>
      <c r="M116" s="124"/>
      <c r="N116" s="125"/>
    </row>
    <row r="117" spans="1:14" s="77" customFormat="1" ht="15.75" thickBot="1" x14ac:dyDescent="0.3">
      <c r="A117" s="100" t="s">
        <v>139</v>
      </c>
      <c r="B117" s="101">
        <f>B113+B115</f>
        <v>4551845.59</v>
      </c>
      <c r="C117" s="101">
        <f t="shared" ref="C117:M117" si="30">C113+C115</f>
        <v>3938610.5000000005</v>
      </c>
      <c r="D117" s="101">
        <f t="shared" si="30"/>
        <v>4351957.9400000004</v>
      </c>
      <c r="E117" s="101">
        <f>E113+E115</f>
        <v>3882374.5200000005</v>
      </c>
      <c r="F117" s="101">
        <f t="shared" si="30"/>
        <v>4217623.2</v>
      </c>
      <c r="G117" s="101">
        <f t="shared" si="30"/>
        <v>4225100.2500000009</v>
      </c>
      <c r="H117" s="101">
        <f t="shared" si="30"/>
        <v>4739320.5600000005</v>
      </c>
      <c r="I117" s="101">
        <f t="shared" si="30"/>
        <v>4522559.16</v>
      </c>
      <c r="J117" s="101">
        <f>J113+J115</f>
        <v>4656705.0199999996</v>
      </c>
      <c r="K117" s="101">
        <f t="shared" si="30"/>
        <v>4741637.84</v>
      </c>
      <c r="L117" s="101">
        <f t="shared" si="30"/>
        <v>4305221.1900000004</v>
      </c>
      <c r="M117" s="101">
        <f t="shared" si="30"/>
        <v>4683010.7</v>
      </c>
      <c r="N117" s="102">
        <f>+N113-N115</f>
        <v>52815966.469999999</v>
      </c>
    </row>
    <row r="118" spans="1:14" s="77" customFormat="1" ht="14.1" customHeight="1" thickTop="1" x14ac:dyDescent="0.25">
      <c r="A118" s="90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22"/>
      <c r="M118" s="122"/>
      <c r="N118" s="104"/>
    </row>
    <row r="119" spans="1:14" s="77" customFormat="1" ht="14.1" customHeight="1" x14ac:dyDescent="0.25">
      <c r="A119" s="126" t="s">
        <v>140</v>
      </c>
      <c r="B119" s="127">
        <f>IF((B27)=0,"",SUM(B82-B89-B90)/(B27))</f>
        <v>6.0008671173110158E-2</v>
      </c>
      <c r="C119" s="127">
        <f t="shared" ref="C119:N119" si="31">IF((C27)=0,"",SUM(C82-C89-C90)/(C27))</f>
        <v>5.7998719187222013E-2</v>
      </c>
      <c r="D119" s="127">
        <f t="shared" si="31"/>
        <v>5.79728710633369E-2</v>
      </c>
      <c r="E119" s="127">
        <f t="shared" si="31"/>
        <v>5.6823199311156571E-2</v>
      </c>
      <c r="F119" s="127">
        <f t="shared" si="31"/>
        <v>5.8118714081971883E-2</v>
      </c>
      <c r="G119" s="127">
        <f t="shared" si="31"/>
        <v>5.7617041994387677E-2</v>
      </c>
      <c r="H119" s="127">
        <f t="shared" si="31"/>
        <v>5.9648418545992073E-2</v>
      </c>
      <c r="I119" s="127">
        <f t="shared" si="31"/>
        <v>5.7751650031411972E-2</v>
      </c>
      <c r="J119" s="127">
        <f t="shared" si="31"/>
        <v>5.8568188031798189E-2</v>
      </c>
      <c r="K119" s="127">
        <f t="shared" si="31"/>
        <v>5.8503740957767371E-2</v>
      </c>
      <c r="L119" s="127">
        <f t="shared" si="31"/>
        <v>5.6644706196272168E-2</v>
      </c>
      <c r="M119" s="127">
        <f t="shared" si="31"/>
        <v>5.6557583451785666E-2</v>
      </c>
      <c r="N119" s="127">
        <f t="shared" si="31"/>
        <v>5.8027774296586856E-2</v>
      </c>
    </row>
    <row r="120" spans="1:14" s="77" customFormat="1" ht="6.75" customHeight="1" x14ac:dyDescent="0.25">
      <c r="A120" s="128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9"/>
    </row>
    <row r="121" spans="1:14" s="77" customFormat="1" ht="14.1" customHeight="1" x14ac:dyDescent="0.25">
      <c r="A121" s="126" t="s">
        <v>141</v>
      </c>
      <c r="B121" s="127">
        <f>IF((B27)=0,"",SUM(B103-B110-B111)/(B27))</f>
        <v>1.3028140746938574E-2</v>
      </c>
      <c r="C121" s="127">
        <f t="shared" ref="C121:N121" si="32">IF((C27)=0,"",SUM(C103-C110-C111)/(C27))</f>
        <v>1.2591791312024687E-2</v>
      </c>
      <c r="D121" s="127">
        <f t="shared" si="32"/>
        <v>1.2586154185165363E-2</v>
      </c>
      <c r="E121" s="127">
        <f t="shared" si="32"/>
        <v>1.2336565588405459E-2</v>
      </c>
      <c r="F121" s="127">
        <f t="shared" si="32"/>
        <v>1.2617825650575525E-2</v>
      </c>
      <c r="G121" s="127">
        <f t="shared" si="32"/>
        <v>1.2508903444232593E-2</v>
      </c>
      <c r="H121" s="127">
        <f t="shared" si="32"/>
        <v>1.2949928438270392E-2</v>
      </c>
      <c r="I121" s="127">
        <f t="shared" si="32"/>
        <v>1.253813138466742E-2</v>
      </c>
      <c r="J121" s="127">
        <f t="shared" si="32"/>
        <v>1.2715423421048378E-2</v>
      </c>
      <c r="K121" s="127">
        <f t="shared" si="32"/>
        <v>1.270141731905346E-2</v>
      </c>
      <c r="L121" s="127">
        <f t="shared" si="32"/>
        <v>1.2297807875706916E-2</v>
      </c>
      <c r="M121" s="127">
        <f t="shared" si="32"/>
        <v>1.2278880358720597E-2</v>
      </c>
      <c r="N121" s="127">
        <f t="shared" si="32"/>
        <v>1.2598081111110012E-2</v>
      </c>
    </row>
    <row r="122" spans="1:14" s="77" customFormat="1" ht="14.1" customHeight="1" x14ac:dyDescent="0.25">
      <c r="A122" s="128"/>
      <c r="B122" s="128"/>
      <c r="C122" s="128"/>
      <c r="D122" s="128"/>
      <c r="E122" s="128"/>
      <c r="F122" s="128"/>
      <c r="G122" s="128"/>
      <c r="H122" s="127"/>
      <c r="I122" s="128"/>
      <c r="J122" s="128"/>
      <c r="K122" s="128"/>
      <c r="L122" s="81"/>
      <c r="M122" s="81"/>
      <c r="N122" s="130"/>
    </row>
    <row r="123" spans="1:14" s="90" customFormat="1" ht="14.1" customHeight="1" x14ac:dyDescent="0.25">
      <c r="A123" s="131" t="s">
        <v>142</v>
      </c>
      <c r="B123" s="132">
        <f>SUM(B119:B121)</f>
        <v>7.3036811920048739E-2</v>
      </c>
      <c r="C123" s="132">
        <f t="shared" ref="C123:N123" si="33">SUM(C119:C121)</f>
        <v>7.0590510499246695E-2</v>
      </c>
      <c r="D123" s="132">
        <f t="shared" si="33"/>
        <v>7.0559025248502258E-2</v>
      </c>
      <c r="E123" s="132">
        <f t="shared" si="33"/>
        <v>6.9159764899562035E-2</v>
      </c>
      <c r="F123" s="132">
        <f t="shared" si="33"/>
        <v>7.0736539732547413E-2</v>
      </c>
      <c r="G123" s="132">
        <f t="shared" si="33"/>
        <v>7.0125945438620274E-2</v>
      </c>
      <c r="H123" s="132">
        <f t="shared" si="33"/>
        <v>7.2598346984262457E-2</v>
      </c>
      <c r="I123" s="132">
        <f t="shared" si="33"/>
        <v>7.0289781416079389E-2</v>
      </c>
      <c r="J123" s="132">
        <f t="shared" si="33"/>
        <v>7.1283611452846563E-2</v>
      </c>
      <c r="K123" s="132">
        <f t="shared" si="33"/>
        <v>7.1205158276820835E-2</v>
      </c>
      <c r="L123" s="132">
        <f t="shared" si="33"/>
        <v>6.8942514071979086E-2</v>
      </c>
      <c r="M123" s="132">
        <f t="shared" si="33"/>
        <v>6.883646381050626E-2</v>
      </c>
      <c r="N123" s="132">
        <f t="shared" si="33"/>
        <v>7.0625855407696864E-2</v>
      </c>
    </row>
    <row r="124" spans="1:14" s="77" customFormat="1" x14ac:dyDescent="0.25">
      <c r="A124" s="128"/>
      <c r="B124" s="128"/>
      <c r="C124" s="128"/>
      <c r="D124" s="128"/>
      <c r="E124" s="128"/>
      <c r="F124" s="128"/>
      <c r="G124" s="84"/>
      <c r="H124" s="84"/>
      <c r="I124" s="128"/>
      <c r="J124" s="84"/>
      <c r="K124" s="128"/>
      <c r="L124" s="81"/>
      <c r="M124" s="81"/>
      <c r="N124" s="130"/>
    </row>
    <row r="125" spans="1:14" s="77" customFormat="1" x14ac:dyDescent="0.25">
      <c r="A125" s="128" t="s">
        <v>143</v>
      </c>
      <c r="B125" s="133">
        <f>IF((B36)=0,"",SUM(B87)/(B36))</f>
        <v>5.9419129438052748E-2</v>
      </c>
      <c r="C125" s="133">
        <f t="shared" ref="C125:N125" si="34">IF((C36)=0,"",SUM(C87)/(C36))</f>
        <v>5.7467225301807701E-2</v>
      </c>
      <c r="D125" s="133">
        <f t="shared" si="34"/>
        <v>5.7356926608316518E-2</v>
      </c>
      <c r="E125" s="133">
        <f t="shared" si="34"/>
        <v>5.6286247485209585E-2</v>
      </c>
      <c r="F125" s="133">
        <f t="shared" si="34"/>
        <v>5.7498561833413023E-2</v>
      </c>
      <c r="G125" s="133">
        <f t="shared" si="34"/>
        <v>5.7121312767789374E-2</v>
      </c>
      <c r="H125" s="133">
        <f t="shared" si="34"/>
        <v>5.923988034206594E-2</v>
      </c>
      <c r="I125" s="133">
        <f t="shared" si="34"/>
        <v>5.7143498743543499E-2</v>
      </c>
      <c r="J125" s="133">
        <f t="shared" si="34"/>
        <v>5.8254562199293571E-2</v>
      </c>
      <c r="K125" s="133">
        <f t="shared" si="34"/>
        <v>5.8150881117868349E-2</v>
      </c>
      <c r="L125" s="133">
        <f t="shared" si="34"/>
        <v>5.6301907017929663E-2</v>
      </c>
      <c r="M125" s="133">
        <f t="shared" si="34"/>
        <v>5.6207334667316977E-2</v>
      </c>
      <c r="N125" s="133">
        <f t="shared" si="34"/>
        <v>5.7551106675852746E-2</v>
      </c>
    </row>
    <row r="126" spans="1:14" s="77" customFormat="1" ht="6.75" customHeight="1" x14ac:dyDescent="0.25">
      <c r="A126" s="128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33"/>
      <c r="M126" s="133"/>
      <c r="N126" s="129"/>
    </row>
    <row r="127" spans="1:14" s="77" customFormat="1" x14ac:dyDescent="0.25">
      <c r="A127" s="128" t="s">
        <v>144</v>
      </c>
      <c r="B127" s="133">
        <f>IF((B36)=0,"",SUM(B108)/(B36))</f>
        <v>1.2849655656844894E-2</v>
      </c>
      <c r="C127" s="133">
        <f t="shared" ref="C127:N127" si="35">IF((C36)=0,"",SUM(C108)/(C36))</f>
        <v>1.2421398715766627E-2</v>
      </c>
      <c r="D127" s="133">
        <f t="shared" si="35"/>
        <v>1.2393974468389876E-2</v>
      </c>
      <c r="E127" s="133">
        <f t="shared" si="35"/>
        <v>1.2164609478056533E-2</v>
      </c>
      <c r="F127" s="133">
        <f t="shared" si="35"/>
        <v>1.2422505543747747E-2</v>
      </c>
      <c r="G127" s="133">
        <f t="shared" si="35"/>
        <v>1.2356249473189158E-2</v>
      </c>
      <c r="H127" s="133">
        <f t="shared" si="35"/>
        <v>1.2829964356643393E-2</v>
      </c>
      <c r="I127" s="133">
        <f t="shared" si="35"/>
        <v>1.2346327815028632E-2</v>
      </c>
      <c r="J127" s="133">
        <f t="shared" si="35"/>
        <v>1.2620465297113923E-2</v>
      </c>
      <c r="K127" s="133">
        <f t="shared" si="35"/>
        <v>1.2597076321584959E-2</v>
      </c>
      <c r="L127" s="133">
        <f t="shared" si="35"/>
        <v>1.2194799212007076E-2</v>
      </c>
      <c r="M127" s="133">
        <f t="shared" si="35"/>
        <v>1.2176907959801158E-2</v>
      </c>
      <c r="N127" s="133">
        <f t="shared" si="35"/>
        <v>1.2451360648838632E-2</v>
      </c>
    </row>
    <row r="128" spans="1:14" s="77" customFormat="1" x14ac:dyDescent="0.25">
      <c r="A128" s="128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81"/>
      <c r="M128" s="81"/>
      <c r="N128" s="134"/>
    </row>
    <row r="129" spans="1:14" s="90" customFormat="1" x14ac:dyDescent="0.25">
      <c r="A129" s="131" t="s">
        <v>145</v>
      </c>
      <c r="B129" s="135">
        <f>SUM(B125:B127)</f>
        <v>7.2268785094897647E-2</v>
      </c>
      <c r="C129" s="135">
        <f t="shared" ref="C129:N129" si="36">SUM(C125:C127)</f>
        <v>6.9888624017574327E-2</v>
      </c>
      <c r="D129" s="135">
        <f t="shared" si="36"/>
        <v>6.9750901076706395E-2</v>
      </c>
      <c r="E129" s="135">
        <f t="shared" si="36"/>
        <v>6.8450856963266124E-2</v>
      </c>
      <c r="F129" s="135">
        <f t="shared" si="36"/>
        <v>6.9921067377160764E-2</v>
      </c>
      <c r="G129" s="135">
        <f t="shared" si="36"/>
        <v>6.9477562240978535E-2</v>
      </c>
      <c r="H129" s="135">
        <f t="shared" si="36"/>
        <v>7.2069844698709334E-2</v>
      </c>
      <c r="I129" s="135">
        <f t="shared" si="36"/>
        <v>6.9489826558572138E-2</v>
      </c>
      <c r="J129" s="135">
        <f t="shared" si="36"/>
        <v>7.0875027496407492E-2</v>
      </c>
      <c r="K129" s="135">
        <f t="shared" si="36"/>
        <v>7.0747957439453307E-2</v>
      </c>
      <c r="L129" s="135">
        <f t="shared" si="36"/>
        <v>6.8496706229936741E-2</v>
      </c>
      <c r="M129" s="135">
        <f t="shared" si="36"/>
        <v>6.8384242627118133E-2</v>
      </c>
      <c r="N129" s="135">
        <f t="shared" si="36"/>
        <v>7.0002467324691384E-2</v>
      </c>
    </row>
    <row r="130" spans="1:14" s="90" customFormat="1" x14ac:dyDescent="0.25">
      <c r="A130" s="128"/>
      <c r="B130" s="81"/>
      <c r="C130" s="81"/>
      <c r="D130" s="81"/>
      <c r="E130" s="128"/>
      <c r="F130" s="128"/>
      <c r="G130" s="81"/>
      <c r="H130" s="128"/>
      <c r="I130" s="81"/>
      <c r="J130" s="81"/>
      <c r="K130" s="81"/>
      <c r="L130" s="81"/>
      <c r="M130" s="81"/>
      <c r="N130" s="130"/>
    </row>
    <row r="131" spans="1:14" s="77" customFormat="1" x14ac:dyDescent="0.25">
      <c r="A131" s="136" t="s">
        <v>146</v>
      </c>
      <c r="B131" s="94">
        <f t="shared" ref="B131:L131" si="37">B96+B117</f>
        <v>25600486.25</v>
      </c>
      <c r="C131" s="94">
        <f>C96+C117</f>
        <v>22160531.09</v>
      </c>
      <c r="D131" s="94">
        <f t="shared" si="37"/>
        <v>24492107.390000004</v>
      </c>
      <c r="E131" s="94">
        <f>E96+E117</f>
        <v>21846400.849999998</v>
      </c>
      <c r="F131" s="94">
        <f t="shared" si="37"/>
        <v>23739342.25</v>
      </c>
      <c r="G131" s="94">
        <f t="shared" si="37"/>
        <v>23757254.470000003</v>
      </c>
      <c r="H131" s="94">
        <f t="shared" si="37"/>
        <v>26622235.380000003</v>
      </c>
      <c r="I131" s="94">
        <f t="shared" si="37"/>
        <v>25454806.920000002</v>
      </c>
      <c r="J131" s="94">
        <f t="shared" si="37"/>
        <v>26151501.919999998</v>
      </c>
      <c r="K131" s="94">
        <f t="shared" si="37"/>
        <v>26630090.389999997</v>
      </c>
      <c r="L131" s="94">
        <f t="shared" si="37"/>
        <v>24181917.850000001</v>
      </c>
      <c r="M131" s="94">
        <f>M96+M117</f>
        <v>26299304.030000001</v>
      </c>
      <c r="N131" s="94">
        <f>N96+N117</f>
        <v>296935978.78999996</v>
      </c>
    </row>
    <row r="132" spans="1:14" s="77" customFormat="1" x14ac:dyDescent="0.25">
      <c r="A132" s="128"/>
      <c r="B132" s="81"/>
      <c r="C132" s="81"/>
      <c r="D132" s="81"/>
      <c r="E132" s="128"/>
      <c r="F132" s="128"/>
      <c r="G132" s="81"/>
      <c r="H132" s="128"/>
      <c r="I132" s="81"/>
      <c r="J132" s="81"/>
      <c r="K132" s="81"/>
      <c r="L132" s="81"/>
      <c r="M132" s="81"/>
      <c r="N132" s="130"/>
    </row>
    <row r="133" spans="1:14" s="77" customFormat="1" ht="4.5" customHeight="1" x14ac:dyDescent="0.25">
      <c r="A133" s="128"/>
      <c r="B133" s="81"/>
      <c r="C133" s="81"/>
      <c r="D133" s="81"/>
      <c r="E133" s="128"/>
      <c r="F133" s="128"/>
      <c r="G133" s="81"/>
      <c r="H133" s="128"/>
      <c r="I133" s="137"/>
      <c r="J133" s="81"/>
      <c r="K133" s="81"/>
      <c r="L133" s="81"/>
      <c r="M133" s="81"/>
      <c r="N133" s="130"/>
    </row>
    <row r="134" spans="1:14" s="77" customFormat="1" x14ac:dyDescent="0.25">
      <c r="A134" s="3" t="s">
        <v>240</v>
      </c>
      <c r="B134" s="3" t="s">
        <v>88</v>
      </c>
      <c r="C134" s="3" t="s">
        <v>89</v>
      </c>
      <c r="D134" s="3" t="s">
        <v>90</v>
      </c>
      <c r="E134" s="3" t="s">
        <v>91</v>
      </c>
      <c r="F134" s="3" t="s">
        <v>92</v>
      </c>
      <c r="G134" s="3" t="s">
        <v>93</v>
      </c>
      <c r="H134" s="3" t="s">
        <v>94</v>
      </c>
      <c r="I134" s="3" t="s">
        <v>95</v>
      </c>
      <c r="J134" s="3" t="s">
        <v>96</v>
      </c>
      <c r="K134" s="3" t="s">
        <v>97</v>
      </c>
      <c r="L134" s="3" t="s">
        <v>98</v>
      </c>
      <c r="M134" s="3" t="s">
        <v>99</v>
      </c>
      <c r="N134" s="3" t="s">
        <v>12</v>
      </c>
    </row>
    <row r="135" spans="1:14" s="77" customFormat="1" x14ac:dyDescent="0.25">
      <c r="A135" s="130"/>
      <c r="B135" s="81"/>
      <c r="C135" s="81"/>
      <c r="D135" s="81"/>
      <c r="E135" s="81"/>
      <c r="F135" s="128"/>
      <c r="G135" s="81"/>
      <c r="H135" s="128"/>
      <c r="I135" s="81"/>
      <c r="J135" s="92"/>
      <c r="K135" s="81"/>
      <c r="L135" s="81"/>
      <c r="M135" s="81"/>
      <c r="N135" s="130"/>
    </row>
    <row r="136" spans="1:14" s="77" customFormat="1" x14ac:dyDescent="0.25">
      <c r="A136" s="130" t="s">
        <v>148</v>
      </c>
      <c r="B136" s="81">
        <f>B87</f>
        <v>21093537.969999999</v>
      </c>
      <c r="C136" s="81">
        <f t="shared" ref="C136:M136" si="38">C87</f>
        <v>18246673.039999999</v>
      </c>
      <c r="D136" s="81">
        <f t="shared" si="38"/>
        <v>20187467.850000001</v>
      </c>
      <c r="E136" s="81">
        <f>E87</f>
        <v>17999205.629999999</v>
      </c>
      <c r="F136" s="81">
        <f>F87</f>
        <v>19561297.68</v>
      </c>
      <c r="G136" s="81">
        <f>G87</f>
        <v>19577417.180000003</v>
      </c>
      <c r="H136" s="81">
        <f t="shared" si="38"/>
        <v>21929834.16</v>
      </c>
      <c r="I136" s="81">
        <f>I87</f>
        <v>20977005.800000001</v>
      </c>
      <c r="J136" s="81">
        <f t="shared" si="38"/>
        <v>21526164.91</v>
      </c>
      <c r="K136" s="81">
        <f>K87</f>
        <v>21932757.969999999</v>
      </c>
      <c r="L136" s="81">
        <f t="shared" si="38"/>
        <v>19920761.530000001</v>
      </c>
      <c r="M136" s="81">
        <f t="shared" si="38"/>
        <v>21675353.620000001</v>
      </c>
      <c r="N136" s="138">
        <f>SUM(B136:M136)</f>
        <v>244627477.34</v>
      </c>
    </row>
    <row r="137" spans="1:14" s="77" customFormat="1" x14ac:dyDescent="0.25">
      <c r="A137" s="130" t="s">
        <v>149</v>
      </c>
      <c r="B137" s="81">
        <f>B108</f>
        <v>4561573.05</v>
      </c>
      <c r="C137" s="81">
        <f t="shared" ref="C137:M137" si="39">C108</f>
        <v>3943973.2800000003</v>
      </c>
      <c r="D137" s="81">
        <f t="shared" si="39"/>
        <v>4362210.04</v>
      </c>
      <c r="E137" s="81">
        <f>E108</f>
        <v>3889996.5300000003</v>
      </c>
      <c r="F137" s="81">
        <f>F108</f>
        <v>4226198.38</v>
      </c>
      <c r="G137" s="81">
        <f>G108</f>
        <v>4234907.0600000005</v>
      </c>
      <c r="H137" s="81">
        <f t="shared" si="39"/>
        <v>4749486.1400000006</v>
      </c>
      <c r="I137" s="81">
        <f t="shared" si="39"/>
        <v>4532256.4400000004</v>
      </c>
      <c r="J137" s="81">
        <f t="shared" si="39"/>
        <v>4663501.1399999997</v>
      </c>
      <c r="K137" s="81">
        <f t="shared" si="39"/>
        <v>4751237.1399999997</v>
      </c>
      <c r="L137" s="81">
        <f t="shared" si="39"/>
        <v>4314768.3600000003</v>
      </c>
      <c r="M137" s="81">
        <f t="shared" si="39"/>
        <v>4695806.83</v>
      </c>
      <c r="N137" s="138">
        <f>SUM(B137:M137)</f>
        <v>52925914.390000001</v>
      </c>
    </row>
    <row r="138" spans="1:14" s="77" customFormat="1" ht="7.5" customHeight="1" x14ac:dyDescent="0.25">
      <c r="A138" s="128"/>
      <c r="B138" s="81"/>
      <c r="C138" s="81"/>
      <c r="D138" s="81"/>
      <c r="E138" s="81"/>
      <c r="F138" s="128"/>
      <c r="G138" s="81"/>
      <c r="H138" s="128"/>
      <c r="I138" s="137"/>
      <c r="J138" s="92"/>
      <c r="K138" s="81"/>
      <c r="L138" s="81"/>
      <c r="M138" s="81"/>
      <c r="N138" s="130"/>
    </row>
    <row r="139" spans="1:14" s="77" customFormat="1" x14ac:dyDescent="0.25">
      <c r="A139" s="130" t="s">
        <v>12</v>
      </c>
      <c r="B139" s="94">
        <f>SUM(B136:B138)</f>
        <v>25655111.02</v>
      </c>
      <c r="C139" s="94">
        <f t="shared" ref="C139:M139" si="40">SUM(C136:C138)</f>
        <v>22190646.32</v>
      </c>
      <c r="D139" s="94">
        <f t="shared" si="40"/>
        <v>24549677.890000001</v>
      </c>
      <c r="E139" s="94">
        <f t="shared" si="40"/>
        <v>21889202.16</v>
      </c>
      <c r="F139" s="94">
        <f>SUM(F136:F138)</f>
        <v>23787496.059999999</v>
      </c>
      <c r="G139" s="94">
        <f t="shared" si="40"/>
        <v>23812324.240000002</v>
      </c>
      <c r="H139" s="94">
        <f t="shared" si="40"/>
        <v>26679320.300000001</v>
      </c>
      <c r="I139" s="94">
        <f t="shared" si="40"/>
        <v>25509262.240000002</v>
      </c>
      <c r="J139" s="94">
        <f t="shared" si="40"/>
        <v>26189666.050000001</v>
      </c>
      <c r="K139" s="94">
        <f t="shared" si="40"/>
        <v>26683995.109999999</v>
      </c>
      <c r="L139" s="94">
        <f t="shared" si="40"/>
        <v>24235529.890000001</v>
      </c>
      <c r="M139" s="94">
        <f t="shared" si="40"/>
        <v>26371160.450000003</v>
      </c>
      <c r="N139" s="94">
        <f>SUM(B139:M139)</f>
        <v>297553391.73000002</v>
      </c>
    </row>
    <row r="140" spans="1:14" s="77" customFormat="1" ht="8.25" customHeight="1" x14ac:dyDescent="0.25">
      <c r="B140" s="139"/>
      <c r="C140" s="139"/>
      <c r="D140" s="139"/>
      <c r="E140" s="139"/>
      <c r="H140" s="139"/>
      <c r="I140" s="140"/>
      <c r="K140" s="139"/>
      <c r="L140" s="139"/>
      <c r="M140" s="139"/>
      <c r="N140" s="141"/>
    </row>
    <row r="141" spans="1:14" s="77" customFormat="1" x14ac:dyDescent="0.25">
      <c r="A141" s="214" t="s">
        <v>251</v>
      </c>
      <c r="B141" s="215"/>
      <c r="C141" s="139"/>
      <c r="D141" s="139"/>
      <c r="E141" s="139"/>
      <c r="H141" s="139"/>
      <c r="I141" s="140"/>
      <c r="K141" s="139"/>
      <c r="L141" s="139"/>
      <c r="M141" s="139"/>
      <c r="N141" s="141"/>
    </row>
    <row r="142" spans="1:14" s="77" customFormat="1" x14ac:dyDescent="0.25">
      <c r="B142" s="142"/>
      <c r="C142" s="139"/>
      <c r="D142" s="139"/>
      <c r="E142" s="139"/>
      <c r="H142" s="139"/>
      <c r="I142" s="140"/>
      <c r="K142" s="139"/>
      <c r="L142" s="139"/>
      <c r="M142" s="139"/>
      <c r="N142" s="141"/>
    </row>
    <row r="143" spans="1:14" s="77" customFormat="1" x14ac:dyDescent="0.25">
      <c r="B143" s="139"/>
      <c r="C143" s="139"/>
      <c r="D143" s="139"/>
      <c r="E143" s="139"/>
      <c r="H143" s="139"/>
      <c r="I143" s="140"/>
      <c r="K143" s="139"/>
      <c r="L143" s="139"/>
      <c r="M143" s="139"/>
      <c r="N143" s="141"/>
    </row>
    <row r="144" spans="1:14" s="77" customFormat="1" x14ac:dyDescent="0.25">
      <c r="B144" s="139"/>
      <c r="C144" s="139"/>
      <c r="D144" s="139"/>
      <c r="E144" s="139"/>
      <c r="G144" s="139"/>
      <c r="H144" s="139"/>
      <c r="I144" s="140"/>
      <c r="J144" s="139"/>
      <c r="K144" s="139"/>
      <c r="L144" s="139"/>
      <c r="M144" s="139"/>
      <c r="N144" s="141"/>
    </row>
    <row r="145" spans="2:14" s="77" customFormat="1" x14ac:dyDescent="0.25">
      <c r="B145" s="139"/>
      <c r="C145" s="139"/>
      <c r="D145" s="139"/>
      <c r="E145" s="139"/>
      <c r="G145" s="139"/>
      <c r="H145" s="139"/>
      <c r="I145" s="140"/>
      <c r="J145" s="139"/>
      <c r="K145" s="139"/>
      <c r="L145" s="139"/>
      <c r="M145" s="139"/>
      <c r="N145" s="141"/>
    </row>
    <row r="146" spans="2:14" s="77" customFormat="1" x14ac:dyDescent="0.25">
      <c r="B146" s="139"/>
      <c r="C146" s="139"/>
      <c r="D146" s="139"/>
      <c r="E146" s="139"/>
      <c r="G146" s="139"/>
      <c r="H146" s="139"/>
      <c r="I146" s="140"/>
      <c r="J146" s="139"/>
      <c r="K146" s="139"/>
      <c r="L146" s="139"/>
      <c r="M146" s="139"/>
      <c r="N146" s="141"/>
    </row>
    <row r="147" spans="2:14" s="77" customFormat="1" x14ac:dyDescent="0.25">
      <c r="B147" s="139"/>
      <c r="C147" s="139"/>
      <c r="D147" s="139"/>
      <c r="E147" s="139"/>
      <c r="G147" s="139"/>
      <c r="H147" s="139"/>
      <c r="I147" s="140"/>
      <c r="J147" s="139"/>
      <c r="L147" s="139"/>
      <c r="M147" s="139"/>
      <c r="N147" s="141"/>
    </row>
    <row r="148" spans="2:14" s="77" customFormat="1" x14ac:dyDescent="0.25">
      <c r="C148" s="139"/>
      <c r="D148" s="139"/>
      <c r="E148" s="139"/>
      <c r="G148" s="139"/>
      <c r="H148" s="139"/>
      <c r="I148" s="140"/>
      <c r="J148" s="139"/>
      <c r="L148" s="139"/>
      <c r="M148" s="139"/>
      <c r="N148" s="141"/>
    </row>
    <row r="149" spans="2:14" s="77" customFormat="1" x14ac:dyDescent="0.25">
      <c r="C149" s="139"/>
      <c r="D149" s="139"/>
      <c r="E149" s="139"/>
      <c r="G149" s="139"/>
      <c r="H149" s="139"/>
      <c r="I149" s="140"/>
      <c r="J149" s="139"/>
      <c r="L149" s="139"/>
      <c r="M149" s="139"/>
      <c r="N149" s="141"/>
    </row>
    <row r="150" spans="2:14" s="77" customFormat="1" x14ac:dyDescent="0.25">
      <c r="C150" s="139"/>
      <c r="D150" s="139"/>
      <c r="E150" s="139"/>
      <c r="G150" s="139"/>
      <c r="H150" s="139"/>
      <c r="I150" s="140"/>
      <c r="J150" s="139"/>
      <c r="L150" s="139"/>
      <c r="M150" s="139"/>
      <c r="N150" s="141"/>
    </row>
    <row r="151" spans="2:14" s="77" customFormat="1" x14ac:dyDescent="0.25">
      <c r="C151" s="139"/>
      <c r="D151" s="139"/>
      <c r="E151" s="139"/>
      <c r="G151" s="139"/>
      <c r="H151" s="139"/>
      <c r="I151" s="143"/>
      <c r="J151" s="139"/>
      <c r="L151" s="139"/>
      <c r="M151" s="139"/>
      <c r="N151" s="141"/>
    </row>
    <row r="152" spans="2:14" s="77" customFormat="1" x14ac:dyDescent="0.25">
      <c r="C152" s="139"/>
      <c r="D152" s="139"/>
      <c r="E152" s="139"/>
      <c r="G152" s="139"/>
      <c r="H152" s="139"/>
      <c r="I152" s="143"/>
      <c r="J152" s="139"/>
      <c r="L152" s="139"/>
      <c r="M152" s="139"/>
      <c r="N152" s="141"/>
    </row>
    <row r="153" spans="2:14" s="77" customFormat="1" x14ac:dyDescent="0.25">
      <c r="C153" s="139"/>
      <c r="D153" s="139"/>
      <c r="E153" s="139"/>
      <c r="G153" s="139"/>
      <c r="H153" s="139"/>
      <c r="I153" s="143"/>
      <c r="J153" s="139"/>
      <c r="L153" s="139"/>
      <c r="M153" s="139"/>
      <c r="N153" s="141"/>
    </row>
    <row r="154" spans="2:14" s="77" customFormat="1" x14ac:dyDescent="0.25">
      <c r="C154" s="139"/>
      <c r="D154" s="139"/>
      <c r="E154" s="139"/>
      <c r="G154" s="139"/>
      <c r="H154" s="139"/>
      <c r="I154" s="143"/>
      <c r="J154" s="139"/>
      <c r="L154" s="139"/>
      <c r="M154" s="139"/>
      <c r="N154" s="141"/>
    </row>
    <row r="155" spans="2:14" s="77" customFormat="1" x14ac:dyDescent="0.25">
      <c r="C155" s="139"/>
      <c r="D155" s="139"/>
      <c r="E155" s="139"/>
      <c r="G155" s="139"/>
      <c r="H155" s="139"/>
      <c r="I155" s="143"/>
      <c r="J155" s="139"/>
      <c r="L155" s="139"/>
      <c r="M155" s="139"/>
      <c r="N155" s="141"/>
    </row>
    <row r="156" spans="2:14" s="77" customFormat="1" x14ac:dyDescent="0.25">
      <c r="C156" s="143"/>
      <c r="D156" s="139"/>
      <c r="E156" s="139"/>
      <c r="G156" s="139"/>
      <c r="H156" s="144"/>
      <c r="J156" s="139"/>
      <c r="L156" s="139"/>
      <c r="M156" s="139"/>
      <c r="N156" s="141"/>
    </row>
    <row r="157" spans="2:14" s="77" customFormat="1" x14ac:dyDescent="0.25">
      <c r="D157" s="139"/>
      <c r="E157" s="139"/>
      <c r="G157" s="139"/>
      <c r="H157" s="143"/>
      <c r="I157" s="139"/>
      <c r="J157" s="139"/>
      <c r="L157" s="139"/>
      <c r="M157" s="139"/>
      <c r="N157" s="141"/>
    </row>
    <row r="158" spans="2:14" s="77" customFormat="1" x14ac:dyDescent="0.25">
      <c r="D158" s="139"/>
      <c r="E158" s="139"/>
      <c r="G158" s="139"/>
      <c r="I158" s="139"/>
      <c r="J158" s="139"/>
      <c r="L158" s="139"/>
      <c r="M158" s="139"/>
      <c r="N158" s="141"/>
    </row>
    <row r="159" spans="2:14" s="77" customFormat="1" x14ac:dyDescent="0.25">
      <c r="D159" s="139"/>
      <c r="E159" s="139"/>
      <c r="G159" s="139"/>
      <c r="H159" s="143"/>
      <c r="I159" s="139"/>
      <c r="J159" s="139"/>
      <c r="L159" s="139"/>
      <c r="M159" s="139"/>
      <c r="N159" s="141"/>
    </row>
    <row r="160" spans="2:14" s="77" customFormat="1" x14ac:dyDescent="0.25">
      <c r="D160" s="139"/>
      <c r="G160" s="139"/>
      <c r="I160" s="139"/>
      <c r="J160" s="139"/>
      <c r="L160" s="139"/>
      <c r="M160" s="139"/>
      <c r="N160" s="141"/>
    </row>
    <row r="161" spans="4:14" s="77" customFormat="1" x14ac:dyDescent="0.25">
      <c r="D161" s="139"/>
      <c r="G161" s="139"/>
      <c r="I161" s="139"/>
      <c r="J161" s="139"/>
      <c r="L161" s="139"/>
      <c r="M161" s="139"/>
      <c r="N161" s="141"/>
    </row>
    <row r="162" spans="4:14" s="77" customFormat="1" x14ac:dyDescent="0.25">
      <c r="D162" s="139"/>
      <c r="I162" s="139"/>
      <c r="J162" s="139"/>
      <c r="L162" s="139"/>
      <c r="M162" s="139"/>
      <c r="N162" s="141"/>
    </row>
    <row r="163" spans="4:14" s="77" customFormat="1" x14ac:dyDescent="0.25">
      <c r="D163" s="139"/>
      <c r="I163" s="139"/>
      <c r="J163" s="139"/>
      <c r="L163" s="139"/>
      <c r="M163" s="139"/>
      <c r="N163" s="141"/>
    </row>
    <row r="164" spans="4:14" s="77" customFormat="1" x14ac:dyDescent="0.25">
      <c r="D164" s="139"/>
      <c r="I164" s="139"/>
      <c r="J164" s="139"/>
      <c r="L164" s="139"/>
      <c r="M164" s="139"/>
      <c r="N164" s="141"/>
    </row>
    <row r="165" spans="4:14" s="77" customFormat="1" x14ac:dyDescent="0.25">
      <c r="D165" s="139"/>
      <c r="I165" s="139"/>
      <c r="J165" s="139"/>
      <c r="L165" s="139"/>
      <c r="M165" s="139"/>
      <c r="N165" s="141"/>
    </row>
    <row r="166" spans="4:14" s="77" customFormat="1" x14ac:dyDescent="0.25">
      <c r="D166" s="139"/>
      <c r="I166" s="139"/>
      <c r="J166" s="139"/>
      <c r="L166" s="139"/>
      <c r="M166" s="139"/>
      <c r="N166" s="141"/>
    </row>
    <row r="167" spans="4:14" s="77" customFormat="1" x14ac:dyDescent="0.25">
      <c r="D167" s="139"/>
      <c r="I167" s="139"/>
      <c r="J167" s="139"/>
      <c r="L167" s="139"/>
      <c r="M167" s="139"/>
      <c r="N167" s="141"/>
    </row>
    <row r="168" spans="4:14" s="77" customFormat="1" x14ac:dyDescent="0.25">
      <c r="D168" s="139"/>
      <c r="I168" s="139"/>
      <c r="J168" s="139"/>
      <c r="L168" s="139"/>
      <c r="M168" s="139"/>
      <c r="N168" s="141"/>
    </row>
    <row r="169" spans="4:14" s="77" customFormat="1" x14ac:dyDescent="0.25">
      <c r="D169" s="139"/>
      <c r="I169" s="139"/>
      <c r="J169" s="139"/>
      <c r="L169" s="139"/>
      <c r="M169" s="139"/>
      <c r="N169" s="141"/>
    </row>
    <row r="170" spans="4:14" s="77" customFormat="1" x14ac:dyDescent="0.25">
      <c r="D170" s="139"/>
      <c r="J170" s="139"/>
      <c r="L170" s="139"/>
      <c r="M170" s="139"/>
      <c r="N170" s="141"/>
    </row>
    <row r="171" spans="4:14" s="77" customFormat="1" x14ac:dyDescent="0.25">
      <c r="D171" s="139"/>
      <c r="I171" s="143"/>
      <c r="L171" s="139"/>
      <c r="M171" s="139"/>
      <c r="N171" s="141"/>
    </row>
    <row r="172" spans="4:14" s="77" customFormat="1" x14ac:dyDescent="0.25">
      <c r="D172" s="139"/>
      <c r="L172" s="139"/>
      <c r="M172" s="139"/>
      <c r="N172" s="141"/>
    </row>
    <row r="173" spans="4:14" s="77" customFormat="1" x14ac:dyDescent="0.25">
      <c r="D173" s="139"/>
      <c r="L173" s="139"/>
      <c r="M173" s="139"/>
      <c r="N173" s="141"/>
    </row>
    <row r="174" spans="4:14" s="77" customFormat="1" x14ac:dyDescent="0.25">
      <c r="D174" s="139"/>
      <c r="L174" s="139"/>
      <c r="M174" s="139"/>
      <c r="N174" s="141"/>
    </row>
    <row r="175" spans="4:14" x14ac:dyDescent="0.25">
      <c r="D175" s="145"/>
      <c r="J175" s="139"/>
    </row>
    <row r="176" spans="4:14" x14ac:dyDescent="0.25">
      <c r="D176" s="145"/>
      <c r="J176" s="147"/>
    </row>
    <row r="177" spans="4:4" x14ac:dyDescent="0.25">
      <c r="D177" s="145"/>
    </row>
    <row r="178" spans="4:4" x14ac:dyDescent="0.25">
      <c r="D178" s="145"/>
    </row>
  </sheetData>
  <mergeCells count="8">
    <mergeCell ref="A141:B141"/>
    <mergeCell ref="A1:N1"/>
    <mergeCell ref="A2:A3"/>
    <mergeCell ref="B2:N2"/>
    <mergeCell ref="A77:A78"/>
    <mergeCell ref="B77:N77"/>
    <mergeCell ref="A98:A99"/>
    <mergeCell ref="B98:N98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1"/>
  <sheetViews>
    <sheetView workbookViewId="0">
      <selection sqref="A1:N1"/>
    </sheetView>
  </sheetViews>
  <sheetFormatPr defaultRowHeight="15" x14ac:dyDescent="0.25"/>
  <cols>
    <col min="1" max="1" width="64.28515625" style="76" customWidth="1"/>
    <col min="2" max="7" width="21.42578125" style="76" customWidth="1"/>
    <col min="8" max="8" width="22.5703125" style="76" customWidth="1"/>
    <col min="9" max="11" width="21.42578125" style="76" customWidth="1"/>
    <col min="12" max="12" width="22.140625" style="145" customWidth="1"/>
    <col min="13" max="13" width="21.42578125" style="145" customWidth="1"/>
    <col min="14" max="14" width="23.85546875" style="146" bestFit="1" customWidth="1"/>
    <col min="15" max="16384" width="9.140625" style="76"/>
  </cols>
  <sheetData>
    <row r="1" spans="1:14" x14ac:dyDescent="0.25">
      <c r="A1" s="216" t="s">
        <v>241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9.25" customHeight="1" thickBot="1" x14ac:dyDescent="0.3">
      <c r="A2" s="217" t="s">
        <v>118</v>
      </c>
      <c r="B2" s="219" t="s">
        <v>151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7" customFormat="1" ht="15" customHeight="1" thickTop="1" x14ac:dyDescent="0.25">
      <c r="A3" s="218"/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  <c r="G3" s="3" t="s">
        <v>93</v>
      </c>
      <c r="H3" s="3" t="s">
        <v>94</v>
      </c>
      <c r="I3" s="3" t="s">
        <v>95</v>
      </c>
      <c r="J3" s="3" t="s">
        <v>96</v>
      </c>
      <c r="K3" s="3" t="s">
        <v>97</v>
      </c>
      <c r="L3" s="3" t="s">
        <v>98</v>
      </c>
      <c r="M3" s="3" t="s">
        <v>99</v>
      </c>
      <c r="N3" s="3" t="s">
        <v>12</v>
      </c>
    </row>
    <row r="4" spans="1:14" s="77" customFormat="1" ht="14.1" customHeight="1" x14ac:dyDescent="0.25">
      <c r="A4" s="78" t="s">
        <v>158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1"/>
      <c r="N4" s="82"/>
    </row>
    <row r="5" spans="1:14" s="77" customFormat="1" ht="14.1" customHeight="1" x14ac:dyDescent="0.25">
      <c r="A5" s="83" t="s">
        <v>159</v>
      </c>
      <c r="B5" s="148">
        <v>228621313.69</v>
      </c>
      <c r="C5" s="148">
        <f>428500113.67-228621313.69</f>
        <v>199878799.98000002</v>
      </c>
      <c r="D5" s="148">
        <f>657404690.72-428500113.67</f>
        <v>228904577.05000001</v>
      </c>
      <c r="E5" s="148">
        <f>875463693.26-657404690.72</f>
        <v>218059002.53999996</v>
      </c>
      <c r="F5" s="148">
        <f>1106300100.01-875463693.26</f>
        <v>230836406.75</v>
      </c>
      <c r="G5" s="148">
        <f>1322737829.55-1106300100.01</f>
        <v>216437729.53999996</v>
      </c>
      <c r="H5" s="148">
        <f>1548868777.7-1322737829.55</f>
        <v>226130948.1500001</v>
      </c>
      <c r="I5" s="148">
        <f>1777519815.85-1548868777.7</f>
        <v>228651038.14999986</v>
      </c>
      <c r="J5" s="148">
        <f>1997961772.96-1777519815.85</f>
        <v>220441957.11000013</v>
      </c>
      <c r="K5" s="148">
        <f>2229505561.59-1997961772.96</f>
        <v>231543788.63000011</v>
      </c>
      <c r="L5" s="148">
        <f>2457727275.74-2229505561.59</f>
        <v>228221714.14999962</v>
      </c>
      <c r="M5" s="84">
        <f>2710888489.75-2457727275.74</f>
        <v>253161214.01000023</v>
      </c>
      <c r="N5" s="85">
        <f>SUM(B5:M5)</f>
        <v>2710888489.75</v>
      </c>
    </row>
    <row r="6" spans="1:14" s="77" customFormat="1" ht="14.1" customHeight="1" x14ac:dyDescent="0.25">
      <c r="A6" s="83" t="s">
        <v>160</v>
      </c>
      <c r="B6" s="148">
        <v>7681694.5499999998</v>
      </c>
      <c r="C6" s="148">
        <f>15583983.94-7681694.55</f>
        <v>7902289.3899999997</v>
      </c>
      <c r="D6" s="148">
        <f>23818964.88-15583983.94</f>
        <v>8234980.9399999995</v>
      </c>
      <c r="E6" s="148">
        <f>31976222.68-23818964.88</f>
        <v>8157257.8000000007</v>
      </c>
      <c r="F6" s="148">
        <f>40475878.36-31976222.68</f>
        <v>8499655.6799999997</v>
      </c>
      <c r="G6" s="148">
        <f>48861633.74-40475878.36</f>
        <v>8385755.3800000027</v>
      </c>
      <c r="H6" s="148">
        <v>8429243.4100000001</v>
      </c>
      <c r="I6" s="148">
        <f>66098640.09-57290877.15</f>
        <v>8807762.9400000051</v>
      </c>
      <c r="J6" s="148">
        <f>74943296.92-66098640.09</f>
        <v>8844656.8299999982</v>
      </c>
      <c r="K6" s="148">
        <f>83466409.14-74943296.92</f>
        <v>8523112.2199999988</v>
      </c>
      <c r="L6" s="148">
        <f>91360314.69-83466409.14</f>
        <v>7893905.549999997</v>
      </c>
      <c r="M6" s="84">
        <f>99795495.55-91360314.69</f>
        <v>8435180.8599999994</v>
      </c>
      <c r="N6" s="85">
        <f>SUM(B6:M6)</f>
        <v>99795495.550000012</v>
      </c>
    </row>
    <row r="7" spans="1:14" s="77" customFormat="1" ht="14.1" customHeight="1" x14ac:dyDescent="0.25">
      <c r="A7" s="86" t="s">
        <v>161</v>
      </c>
      <c r="B7" s="148">
        <v>572394.64</v>
      </c>
      <c r="C7" s="148">
        <f>1026862.98-572394.64</f>
        <v>454468.33999999997</v>
      </c>
      <c r="D7" s="148">
        <f>1541512.98-1026862.98</f>
        <v>514650</v>
      </c>
      <c r="E7" s="148">
        <f>2056162.98-1541512.98</f>
        <v>514650</v>
      </c>
      <c r="F7" s="148">
        <f>2401532.98-2056162.98</f>
        <v>345370</v>
      </c>
      <c r="G7" s="148">
        <f>2912142.98-2401532.98</f>
        <v>510610</v>
      </c>
      <c r="H7" s="148">
        <v>512770</v>
      </c>
      <c r="I7" s="148">
        <f>3942473.71-3424912.98</f>
        <v>517560.73</v>
      </c>
      <c r="J7" s="148">
        <f>4455243.71-3942473.71</f>
        <v>512770</v>
      </c>
      <c r="K7" s="148">
        <f>4969369.05-4455243.71</f>
        <v>514125.33999999985</v>
      </c>
      <c r="L7" s="148">
        <f>5485968.4-4969369.05</f>
        <v>516599.35000000056</v>
      </c>
      <c r="M7" s="84">
        <f>6009269.33-5485968.4</f>
        <v>523300.9299999997</v>
      </c>
      <c r="N7" s="85">
        <f t="shared" ref="N7:N13" si="0">SUM(B7:M7)</f>
        <v>6009269.3300000001</v>
      </c>
    </row>
    <row r="8" spans="1:14" s="77" customFormat="1" ht="14.1" customHeight="1" x14ac:dyDescent="0.25">
      <c r="A8" s="83" t="s">
        <v>162</v>
      </c>
      <c r="B8" s="148">
        <v>0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84">
        <v>0</v>
      </c>
      <c r="N8" s="85">
        <f t="shared" si="0"/>
        <v>0</v>
      </c>
    </row>
    <row r="9" spans="1:14" s="77" customFormat="1" ht="14.1" customHeight="1" x14ac:dyDescent="0.25">
      <c r="A9" s="83" t="s">
        <v>163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84">
        <v>0</v>
      </c>
      <c r="N9" s="85">
        <f t="shared" si="0"/>
        <v>0</v>
      </c>
    </row>
    <row r="10" spans="1:14" s="77" customFormat="1" ht="14.1" customHeight="1" x14ac:dyDescent="0.25">
      <c r="A10" s="83" t="s">
        <v>164</v>
      </c>
      <c r="B10" s="148">
        <v>128194616.20999999</v>
      </c>
      <c r="C10" s="148">
        <f>244051979.63-128194616.21</f>
        <v>115857363.42</v>
      </c>
      <c r="D10" s="148">
        <f>376569629.33-244051979.63</f>
        <v>132517649.69999999</v>
      </c>
      <c r="E10" s="148">
        <f>502486214.22-376569629.33</f>
        <v>125916584.89000005</v>
      </c>
      <c r="F10" s="148">
        <f>635632896.2-502486214.22</f>
        <v>133146681.98000002</v>
      </c>
      <c r="G10" s="148">
        <f>762421692.61-635632896.2</f>
        <v>126788796.40999997</v>
      </c>
      <c r="H10" s="148">
        <v>130442550.05</v>
      </c>
      <c r="I10" s="148">
        <f>1026653904.96-892864242.66</f>
        <v>133789662.30000007</v>
      </c>
      <c r="J10" s="148">
        <f>1155607788.1-1026653904.96</f>
        <v>128953883.13999987</v>
      </c>
      <c r="K10" s="148">
        <f>1290490971.72-1155607788.1</f>
        <v>134883183.62000012</v>
      </c>
      <c r="L10" s="148">
        <f>1424264445.24-1290490971.72</f>
        <v>133773473.51999998</v>
      </c>
      <c r="M10" s="84">
        <f>1572970804.45-1424264445.24</f>
        <v>148706359.21000004</v>
      </c>
      <c r="N10" s="85">
        <f t="shared" si="0"/>
        <v>1572970804.45</v>
      </c>
    </row>
    <row r="11" spans="1:14" s="77" customFormat="1" ht="14.1" customHeight="1" x14ac:dyDescent="0.25">
      <c r="A11" s="83" t="s">
        <v>165</v>
      </c>
      <c r="B11" s="148">
        <v>2079995.45</v>
      </c>
      <c r="C11" s="148">
        <f>4524845.42-2079995.45</f>
        <v>2444849.9699999997</v>
      </c>
      <c r="D11" s="148">
        <f>6920480.29-4524845.42</f>
        <v>2395634.87</v>
      </c>
      <c r="E11" s="148">
        <f>9576024.07-6920480.29</f>
        <v>2655543.7800000003</v>
      </c>
      <c r="F11" s="148">
        <f>12196828.96-9576024.07</f>
        <v>2620804.8900000006</v>
      </c>
      <c r="G11" s="148">
        <f>15631375.14-12196828.96</f>
        <v>3434546.1799999997</v>
      </c>
      <c r="H11" s="148">
        <v>3506219.56</v>
      </c>
      <c r="I11" s="148">
        <f>22491188.67-19137594.7</f>
        <v>3353593.9700000025</v>
      </c>
      <c r="J11" s="148">
        <f>26421759.34-22491188.67</f>
        <v>3930570.6699999981</v>
      </c>
      <c r="K11" s="148">
        <f>29809259.53-26421759.34</f>
        <v>3387500.1900000013</v>
      </c>
      <c r="L11" s="148">
        <f>32853184.45-29809259.53</f>
        <v>3043924.9199999981</v>
      </c>
      <c r="M11" s="84">
        <f>35409714.56-32853184.45</f>
        <v>2556530.1100000031</v>
      </c>
      <c r="N11" s="85">
        <f t="shared" si="0"/>
        <v>35409714.560000002</v>
      </c>
    </row>
    <row r="12" spans="1:14" s="77" customFormat="1" ht="14.1" customHeight="1" x14ac:dyDescent="0.25">
      <c r="A12" s="83" t="s">
        <v>166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6197226.0300000003</v>
      </c>
      <c r="J12" s="148">
        <v>0</v>
      </c>
      <c r="K12" s="148">
        <v>0</v>
      </c>
      <c r="L12" s="148">
        <f>6197226.03-6197226.03</f>
        <v>0</v>
      </c>
      <c r="M12" s="84">
        <v>0</v>
      </c>
      <c r="N12" s="85">
        <f t="shared" si="0"/>
        <v>6197226.0300000003</v>
      </c>
    </row>
    <row r="13" spans="1:14" s="77" customFormat="1" ht="14.1" customHeight="1" x14ac:dyDescent="0.25">
      <c r="A13" s="83" t="s">
        <v>167</v>
      </c>
      <c r="B13" s="148">
        <v>731627.62</v>
      </c>
      <c r="C13" s="148">
        <f>1533558.92-731627.62</f>
        <v>801931.29999999993</v>
      </c>
      <c r="D13" s="148">
        <f>2334411.02-1533558.92</f>
        <v>800852.10000000009</v>
      </c>
      <c r="E13" s="148">
        <f>3204244.76-2334411.02</f>
        <v>869833.73999999976</v>
      </c>
      <c r="F13" s="148">
        <f>4089772.99-3204244.76</f>
        <v>885528.23000000045</v>
      </c>
      <c r="G13" s="148">
        <f>4894361.84-4089772.99</f>
        <v>804588.84999999963</v>
      </c>
      <c r="H13" s="148">
        <v>804330.65</v>
      </c>
      <c r="I13" s="148">
        <f>6514959.79-5698692.49</f>
        <v>816267.29999999981</v>
      </c>
      <c r="J13" s="148">
        <f>7316709.95-6514959.79</f>
        <v>801750.16000000015</v>
      </c>
      <c r="K13" s="148">
        <f>8115886.41-7316709.95</f>
        <v>799176.46</v>
      </c>
      <c r="L13" s="148">
        <f>8949088.27-8115886.41</f>
        <v>833201.8599999994</v>
      </c>
      <c r="M13" s="84">
        <f>9792728.48-8949088.27</f>
        <v>843640.21000000089</v>
      </c>
      <c r="N13" s="85">
        <f t="shared" si="0"/>
        <v>9792728.4800000004</v>
      </c>
    </row>
    <row r="14" spans="1:14" s="77" customFormat="1" ht="14.1" customHeight="1" x14ac:dyDescent="0.25">
      <c r="A14" s="78" t="s">
        <v>168</v>
      </c>
      <c r="B14" s="79">
        <f>SUM(B5:B13)</f>
        <v>367881642.15999997</v>
      </c>
      <c r="C14" s="79">
        <f t="shared" ref="C14:M14" si="1">SUM(C5:C13)</f>
        <v>327339702.40000004</v>
      </c>
      <c r="D14" s="79">
        <f t="shared" si="1"/>
        <v>373368344.66000003</v>
      </c>
      <c r="E14" s="79">
        <f>SUM(E5:E13)</f>
        <v>356172872.75</v>
      </c>
      <c r="F14" s="79">
        <f t="shared" si="1"/>
        <v>376334447.53000003</v>
      </c>
      <c r="G14" s="79">
        <f t="shared" si="1"/>
        <v>356362026.35999995</v>
      </c>
      <c r="H14" s="79">
        <f t="shared" si="1"/>
        <v>369826061.82000005</v>
      </c>
      <c r="I14" s="79">
        <f t="shared" si="1"/>
        <v>382133111.4199999</v>
      </c>
      <c r="J14" s="79">
        <f>SUM(J5:J13)</f>
        <v>363485587.91000003</v>
      </c>
      <c r="K14" s="79">
        <f t="shared" si="1"/>
        <v>379650886.46000022</v>
      </c>
      <c r="L14" s="79">
        <f t="shared" si="1"/>
        <v>374282819.34999961</v>
      </c>
      <c r="M14" s="79">
        <f t="shared" si="1"/>
        <v>414226225.33000028</v>
      </c>
      <c r="N14" s="87">
        <f t="shared" ref="N14:N23" si="2">SUM(B14:M14)</f>
        <v>4441063728.1499996</v>
      </c>
    </row>
    <row r="15" spans="1:14" s="88" customFormat="1" ht="14.1" customHeight="1" x14ac:dyDescent="0.25">
      <c r="A15" s="83" t="s">
        <v>169</v>
      </c>
      <c r="B15" s="149">
        <v>1366517.68</v>
      </c>
      <c r="C15" s="149">
        <f>2708551.07-1366517.68</f>
        <v>1342033.3899999999</v>
      </c>
      <c r="D15" s="149">
        <f>3970351.81-2708551.07</f>
        <v>1261800.7400000002</v>
      </c>
      <c r="E15" s="149">
        <f>5221107.68-3970351.81</f>
        <v>1250755.8699999996</v>
      </c>
      <c r="F15" s="150">
        <f>6546726.58-5221107.68</f>
        <v>1325618.9000000004</v>
      </c>
      <c r="G15" s="149">
        <f>8054575.25-6546726.58</f>
        <v>1507848.67</v>
      </c>
      <c r="H15" s="149">
        <v>1400281.46</v>
      </c>
      <c r="I15" s="149">
        <f>10861329.57-9454856.71</f>
        <v>1406472.8599999994</v>
      </c>
      <c r="J15" s="149">
        <f>12310303.41-10861329.57</f>
        <v>1448973.8399999999</v>
      </c>
      <c r="K15" s="149">
        <f>13704372.1-12310303.41</f>
        <v>1394068.6899999995</v>
      </c>
      <c r="L15" s="149">
        <f>15141363.02-13704372.1</f>
        <v>1436990.92</v>
      </c>
      <c r="M15" s="84">
        <f>16565808.59-15141363.02</f>
        <v>1424445.5700000003</v>
      </c>
      <c r="N15" s="85">
        <f t="shared" si="2"/>
        <v>16565808.59</v>
      </c>
    </row>
    <row r="16" spans="1:14" s="77" customFormat="1" ht="14.1" customHeight="1" x14ac:dyDescent="0.25">
      <c r="A16" s="83" t="s">
        <v>170</v>
      </c>
      <c r="B16" s="149">
        <v>2027350.58</v>
      </c>
      <c r="C16" s="149">
        <f>3212580.74-2027350.58</f>
        <v>1185230.1600000001</v>
      </c>
      <c r="D16" s="149">
        <f>4259248.68-3212580.74</f>
        <v>1046667.9399999995</v>
      </c>
      <c r="E16" s="149">
        <f>5359275.39-4259248.68</f>
        <v>1100026.71</v>
      </c>
      <c r="F16" s="150">
        <f>7107986.44-5359275.39</f>
        <v>1748711.0500000007</v>
      </c>
      <c r="G16" s="149">
        <f>9978905.44-7107986.44</f>
        <v>2870918.9999999991</v>
      </c>
      <c r="H16" s="149">
        <f>11248019.66-9978905.44</f>
        <v>1269114.2200000007</v>
      </c>
      <c r="I16" s="149">
        <f>13072164.44-11248019.66</f>
        <v>1824144.7799999993</v>
      </c>
      <c r="J16" s="149">
        <f>14131546.35-13072164.44</f>
        <v>1059381.9100000001</v>
      </c>
      <c r="K16" s="149">
        <f>17038127.14-14131546.35</f>
        <v>2906580.790000001</v>
      </c>
      <c r="L16" s="149">
        <f>19783910.23-17038127.14</f>
        <v>2745783.09</v>
      </c>
      <c r="M16" s="84">
        <f>21951724.4-19783910.23</f>
        <v>2167814.1699999981</v>
      </c>
      <c r="N16" s="85">
        <f t="shared" si="2"/>
        <v>21951724.399999999</v>
      </c>
    </row>
    <row r="17" spans="1:14" s="77" customFormat="1" ht="14.1" customHeight="1" x14ac:dyDescent="0.25">
      <c r="A17" s="83" t="s">
        <v>171</v>
      </c>
      <c r="B17" s="149">
        <v>0</v>
      </c>
      <c r="C17" s="149">
        <v>0</v>
      </c>
      <c r="D17" s="149">
        <v>24810.79</v>
      </c>
      <c r="E17" s="149">
        <v>0</v>
      </c>
      <c r="F17" s="149">
        <v>0</v>
      </c>
      <c r="G17" s="149">
        <f>49621.58-24810.79</f>
        <v>24810.79</v>
      </c>
      <c r="H17" s="149">
        <v>0</v>
      </c>
      <c r="I17" s="149">
        <f>49621.58-49621.58</f>
        <v>0</v>
      </c>
      <c r="J17" s="149">
        <f>1285452.13-49621.58</f>
        <v>1235830.5499999998</v>
      </c>
      <c r="K17" s="149">
        <v>0</v>
      </c>
      <c r="L17" s="149">
        <v>0</v>
      </c>
      <c r="M17" s="84">
        <f>4940914.2-1285452.13</f>
        <v>3655462.0700000003</v>
      </c>
      <c r="N17" s="89">
        <f t="shared" si="2"/>
        <v>4940914.2</v>
      </c>
    </row>
    <row r="18" spans="1:14" s="90" customFormat="1" ht="14.1" customHeight="1" x14ac:dyDescent="0.25">
      <c r="A18" s="83" t="s">
        <v>172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84">
        <v>0</v>
      </c>
      <c r="N18" s="89">
        <f t="shared" si="2"/>
        <v>0</v>
      </c>
    </row>
    <row r="19" spans="1:14" s="90" customFormat="1" ht="14.1" customHeight="1" x14ac:dyDescent="0.25">
      <c r="A19" s="78" t="s">
        <v>173</v>
      </c>
      <c r="B19" s="79">
        <f t="shared" ref="B19:M19" si="3">SUM(B15:B18)</f>
        <v>3393868.26</v>
      </c>
      <c r="C19" s="79">
        <f t="shared" si="3"/>
        <v>2527263.5499999998</v>
      </c>
      <c r="D19" s="79">
        <f t="shared" si="3"/>
        <v>2333279.4699999997</v>
      </c>
      <c r="E19" s="79">
        <f t="shared" si="3"/>
        <v>2350782.5799999996</v>
      </c>
      <c r="F19" s="79">
        <f t="shared" si="3"/>
        <v>3074329.9500000011</v>
      </c>
      <c r="G19" s="79">
        <f t="shared" si="3"/>
        <v>4403578.459999999</v>
      </c>
      <c r="H19" s="79">
        <f t="shared" si="3"/>
        <v>2669395.6800000006</v>
      </c>
      <c r="I19" s="79">
        <f t="shared" si="3"/>
        <v>3230617.6399999987</v>
      </c>
      <c r="J19" s="79">
        <f t="shared" si="3"/>
        <v>3744186.3</v>
      </c>
      <c r="K19" s="79">
        <f t="shared" si="3"/>
        <v>4300649.4800000004</v>
      </c>
      <c r="L19" s="79">
        <f t="shared" si="3"/>
        <v>4182774.01</v>
      </c>
      <c r="M19" s="79">
        <f t="shared" si="3"/>
        <v>7247721.8099999987</v>
      </c>
      <c r="N19" s="91">
        <f>SUM(B19:M19)</f>
        <v>43458447.189999998</v>
      </c>
    </row>
    <row r="20" spans="1:14" s="90" customFormat="1" ht="14.1" customHeight="1" x14ac:dyDescent="0.25">
      <c r="A20" s="83" t="s">
        <v>174</v>
      </c>
      <c r="B20" s="138">
        <v>-38473.599999999999</v>
      </c>
      <c r="C20" s="149">
        <v>0</v>
      </c>
      <c r="D20" s="138">
        <f>-75145.56+38473.6</f>
        <v>-36671.96</v>
      </c>
      <c r="E20" s="149">
        <v>0</v>
      </c>
      <c r="F20" s="138">
        <f>-88216.09+75145.56</f>
        <v>-13070.529999999999</v>
      </c>
      <c r="G20" s="149">
        <v>0</v>
      </c>
      <c r="H20" s="149">
        <v>0</v>
      </c>
      <c r="I20" s="138">
        <f>-232671.76+88216.09</f>
        <v>-144455.67000000001</v>
      </c>
      <c r="J20" s="149">
        <v>0</v>
      </c>
      <c r="K20" s="149">
        <v>0</v>
      </c>
      <c r="L20" s="149">
        <v>0</v>
      </c>
      <c r="M20" s="81">
        <f>-247102.47+232671.76</f>
        <v>-14430.709999999992</v>
      </c>
      <c r="N20" s="138">
        <f t="shared" si="2"/>
        <v>-247102.47</v>
      </c>
    </row>
    <row r="21" spans="1:14" s="90" customFormat="1" ht="14.1" customHeight="1" x14ac:dyDescent="0.25">
      <c r="A21" s="83" t="s">
        <v>175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84">
        <v>0</v>
      </c>
      <c r="N21" s="89">
        <f t="shared" si="2"/>
        <v>0</v>
      </c>
    </row>
    <row r="22" spans="1:14" s="90" customFormat="1" ht="14.1" customHeight="1" x14ac:dyDescent="0.25">
      <c r="A22" s="83" t="s">
        <v>176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84">
        <v>0</v>
      </c>
      <c r="N22" s="89">
        <f t="shared" si="2"/>
        <v>0</v>
      </c>
    </row>
    <row r="23" spans="1:14" s="90" customFormat="1" ht="14.1" customHeight="1" x14ac:dyDescent="0.25">
      <c r="A23" s="83" t="s">
        <v>177</v>
      </c>
      <c r="B23" s="149">
        <v>0</v>
      </c>
      <c r="C23" s="149">
        <v>0</v>
      </c>
      <c r="D23" s="138">
        <v>-24810.79</v>
      </c>
      <c r="E23" s="149">
        <v>0</v>
      </c>
      <c r="F23" s="149">
        <v>0</v>
      </c>
      <c r="G23" s="138">
        <f>24810.79-49621.58</f>
        <v>-24810.79</v>
      </c>
      <c r="H23" s="149">
        <v>0</v>
      </c>
      <c r="I23" s="149">
        <v>0</v>
      </c>
      <c r="J23" s="138">
        <f>-J17</f>
        <v>-1235830.5499999998</v>
      </c>
      <c r="K23" s="149">
        <v>0</v>
      </c>
      <c r="L23" s="149">
        <v>0</v>
      </c>
      <c r="M23" s="81">
        <f>-1512724.8+1285452.13</f>
        <v>-227272.67000000016</v>
      </c>
      <c r="N23" s="151">
        <f t="shared" si="2"/>
        <v>-1512724.8</v>
      </c>
    </row>
    <row r="24" spans="1:14" s="90" customFormat="1" ht="14.1" customHeight="1" x14ac:dyDescent="0.25">
      <c r="A24" s="83" t="s">
        <v>178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84">
        <v>0</v>
      </c>
      <c r="N24" s="89">
        <f>SUM(B24:M24)</f>
        <v>0</v>
      </c>
    </row>
    <row r="25" spans="1:14" s="90" customFormat="1" ht="14.1" customHeight="1" x14ac:dyDescent="0.25">
      <c r="A25" s="78" t="s">
        <v>179</v>
      </c>
      <c r="B25" s="93">
        <f>SUM(B20:B24)</f>
        <v>-38473.599999999999</v>
      </c>
      <c r="C25" s="79">
        <f t="shared" ref="C25:M25" si="4">SUM(C20:C24)</f>
        <v>0</v>
      </c>
      <c r="D25" s="93">
        <f t="shared" si="4"/>
        <v>-61482.75</v>
      </c>
      <c r="E25" s="79">
        <f t="shared" si="4"/>
        <v>0</v>
      </c>
      <c r="F25" s="93">
        <f t="shared" si="4"/>
        <v>-13070.529999999999</v>
      </c>
      <c r="G25" s="93">
        <f t="shared" si="4"/>
        <v>-24810.79</v>
      </c>
      <c r="H25" s="79">
        <f t="shared" si="4"/>
        <v>0</v>
      </c>
      <c r="I25" s="93">
        <f t="shared" si="4"/>
        <v>-144455.67000000001</v>
      </c>
      <c r="J25" s="93">
        <f t="shared" si="4"/>
        <v>-1235830.5499999998</v>
      </c>
      <c r="K25" s="79">
        <f t="shared" si="4"/>
        <v>0</v>
      </c>
      <c r="L25" s="79">
        <f t="shared" si="4"/>
        <v>0</v>
      </c>
      <c r="M25" s="93">
        <f t="shared" si="4"/>
        <v>-241703.38000000015</v>
      </c>
      <c r="N25" s="93">
        <f>SUM(B25:M25)</f>
        <v>-1759827.27</v>
      </c>
    </row>
    <row r="26" spans="1:14" s="90" customFormat="1" ht="14.1" customHeight="1" x14ac:dyDescent="0.25">
      <c r="A26" s="83" t="s">
        <v>180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138">
        <v>470.4</v>
      </c>
      <c r="I26" s="84">
        <v>0</v>
      </c>
      <c r="J26" s="84">
        <f>42992.4-470.4</f>
        <v>42522</v>
      </c>
      <c r="K26" s="84">
        <v>0</v>
      </c>
      <c r="L26" s="84">
        <f>47760.64-42992.4</f>
        <v>4768.239999999998</v>
      </c>
      <c r="M26" s="84">
        <v>0</v>
      </c>
      <c r="N26" s="89">
        <f>SUM(B26:M26)</f>
        <v>47760.639999999999</v>
      </c>
    </row>
    <row r="27" spans="1:14" s="90" customFormat="1" ht="12.75" customHeight="1" x14ac:dyDescent="0.25">
      <c r="A27" s="78" t="s">
        <v>181</v>
      </c>
      <c r="B27" s="94">
        <f t="shared" ref="B27:M27" si="5">+B14+B19+B25+B26</f>
        <v>371237036.81999993</v>
      </c>
      <c r="C27" s="94">
        <f t="shared" si="5"/>
        <v>329866965.95000005</v>
      </c>
      <c r="D27" s="94">
        <f t="shared" si="5"/>
        <v>375640141.38000005</v>
      </c>
      <c r="E27" s="94">
        <f t="shared" si="5"/>
        <v>358523655.32999998</v>
      </c>
      <c r="F27" s="94">
        <f t="shared" si="5"/>
        <v>379395706.95000005</v>
      </c>
      <c r="G27" s="94">
        <f t="shared" si="5"/>
        <v>360740794.02999991</v>
      </c>
      <c r="H27" s="94">
        <f t="shared" si="5"/>
        <v>372495927.90000004</v>
      </c>
      <c r="I27" s="94">
        <f t="shared" si="5"/>
        <v>385219273.38999987</v>
      </c>
      <c r="J27" s="94">
        <f t="shared" si="5"/>
        <v>366036465.66000003</v>
      </c>
      <c r="K27" s="94">
        <f t="shared" si="5"/>
        <v>383951535.94000024</v>
      </c>
      <c r="L27" s="94">
        <f t="shared" si="5"/>
        <v>378470361.59999961</v>
      </c>
      <c r="M27" s="94">
        <f t="shared" si="5"/>
        <v>421232243.76000029</v>
      </c>
      <c r="N27" s="94">
        <f>SUM(B27:M27)</f>
        <v>4482810108.71</v>
      </c>
    </row>
    <row r="28" spans="1:14" s="90" customFormat="1" ht="8.1" customHeight="1" x14ac:dyDescent="0.25">
      <c r="A28" s="96"/>
      <c r="B28" s="84"/>
      <c r="C28" s="84"/>
      <c r="D28" s="84"/>
      <c r="E28" s="84"/>
      <c r="F28" s="84"/>
      <c r="G28" s="84"/>
      <c r="H28" s="79"/>
      <c r="I28" s="79"/>
      <c r="J28" s="79"/>
      <c r="K28" s="79"/>
      <c r="L28" s="79"/>
      <c r="M28" s="79"/>
      <c r="N28" s="91"/>
    </row>
    <row r="29" spans="1:14" s="90" customFormat="1" ht="14.1" customHeight="1" x14ac:dyDescent="0.25">
      <c r="A29" s="97" t="s">
        <v>182</v>
      </c>
      <c r="B29" s="84">
        <v>4921410.8600000003</v>
      </c>
      <c r="C29" s="84">
        <f>9544346.78-4921410.86</f>
        <v>4622935.919999999</v>
      </c>
      <c r="D29" s="84">
        <f>13651275.83-9544346.78</f>
        <v>4106929.0500000007</v>
      </c>
      <c r="E29" s="84">
        <f>19078545.74-13651275.83</f>
        <v>5427269.9099999983</v>
      </c>
      <c r="F29" s="84">
        <f>24633129.11-19078545.74</f>
        <v>5554583.370000001</v>
      </c>
      <c r="G29" s="84">
        <f>31342090.61-24633129.11</f>
        <v>6708961.5</v>
      </c>
      <c r="H29" s="84">
        <f>36772215.18-31342090.61</f>
        <v>5430124.5700000003</v>
      </c>
      <c r="I29" s="84">
        <f>44470397.4-36772215.18</f>
        <v>7698182.2199999988</v>
      </c>
      <c r="J29" s="84">
        <f>46304279.85-44470397.4</f>
        <v>1833882.450000003</v>
      </c>
      <c r="K29" s="84">
        <f>50992929.86-46304279.85</f>
        <v>4688650.0099999979</v>
      </c>
      <c r="L29" s="84">
        <f>55634623.5-50992929.86</f>
        <v>4641693.6400000006</v>
      </c>
      <c r="M29" s="84">
        <f>59353066.04-55634623.5</f>
        <v>3718442.5399999991</v>
      </c>
      <c r="N29" s="89">
        <f>SUM(B29:M29)</f>
        <v>59353066.039999999</v>
      </c>
    </row>
    <row r="30" spans="1:14" s="90" customFormat="1" ht="14.1" customHeight="1" x14ac:dyDescent="0.25">
      <c r="A30" s="83" t="s">
        <v>183</v>
      </c>
      <c r="B30" s="138">
        <v>-670861.69999999995</v>
      </c>
      <c r="C30" s="138">
        <f>-1333636.32+670861.7</f>
        <v>-662774.62000000011</v>
      </c>
      <c r="D30" s="138">
        <f>-2002141.41+1333636.32</f>
        <v>-668505.08999999985</v>
      </c>
      <c r="E30" s="138">
        <f>-2772803.26+2002141.41</f>
        <v>-770661.84999999986</v>
      </c>
      <c r="F30" s="138">
        <f>-3589933.13+2772803.26</f>
        <v>-817129.87000000011</v>
      </c>
      <c r="G30" s="138">
        <f>-4584188.06+3589933.13</f>
        <v>-994254.9299999997</v>
      </c>
      <c r="H30" s="138">
        <v>-1165601.8600000001</v>
      </c>
      <c r="I30" s="138">
        <f>-6977835.15+5749789.92</f>
        <v>-1228045.2300000004</v>
      </c>
      <c r="J30" s="138">
        <f>-8998961.62+6977835.15</f>
        <v>-2021126.4699999988</v>
      </c>
      <c r="K30" s="138">
        <f>-10236424+8998961.62</f>
        <v>-1237462.3800000008</v>
      </c>
      <c r="L30" s="138">
        <f>-11452605.69+10236424</f>
        <v>-1216181.6899999995</v>
      </c>
      <c r="M30" s="84">
        <v>0</v>
      </c>
      <c r="N30" s="151">
        <f>SUM(B30:M30)</f>
        <v>-11452605.689999999</v>
      </c>
    </row>
    <row r="31" spans="1:14" s="90" customFormat="1" ht="14.1" customHeight="1" x14ac:dyDescent="0.25">
      <c r="A31" s="83" t="s">
        <v>184</v>
      </c>
      <c r="B31" s="149">
        <v>0</v>
      </c>
      <c r="C31" s="149">
        <v>0</v>
      </c>
      <c r="D31" s="138">
        <v>1456002.04</v>
      </c>
      <c r="E31" s="149">
        <v>0</v>
      </c>
      <c r="F31" s="149">
        <v>0</v>
      </c>
      <c r="G31" s="138">
        <f>-2163449.87+1456002.04</f>
        <v>-707447.83000000007</v>
      </c>
      <c r="H31" s="138">
        <v>0</v>
      </c>
      <c r="I31" s="149">
        <v>0</v>
      </c>
      <c r="J31" s="138">
        <v>1270118.55</v>
      </c>
      <c r="K31" s="149">
        <v>0</v>
      </c>
      <c r="L31" s="149">
        <v>0</v>
      </c>
      <c r="M31" s="84">
        <f>2269787.68-2018672.76</f>
        <v>251114.92000000016</v>
      </c>
      <c r="N31" s="89">
        <f>SUM(B31:M31)</f>
        <v>2269787.6800000002</v>
      </c>
    </row>
    <row r="32" spans="1:14" s="90" customFormat="1" ht="14.1" customHeight="1" x14ac:dyDescent="0.25">
      <c r="A32" s="83" t="s">
        <v>185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38">
        <v>-470.4</v>
      </c>
      <c r="I32" s="149">
        <v>0</v>
      </c>
      <c r="J32" s="138">
        <f>-42992.4+470.4</f>
        <v>-42522</v>
      </c>
      <c r="K32" s="149">
        <v>0</v>
      </c>
      <c r="L32" s="138">
        <f>-47760.64+42992.4</f>
        <v>-4768.239999999998</v>
      </c>
      <c r="M32" s="84">
        <v>0</v>
      </c>
      <c r="N32" s="151">
        <f>SUM(B32:M32)</f>
        <v>-47760.639999999999</v>
      </c>
    </row>
    <row r="33" spans="1:14" s="90" customFormat="1" ht="14.1" customHeight="1" x14ac:dyDescent="0.25">
      <c r="A33" s="78" t="s">
        <v>186</v>
      </c>
      <c r="B33" s="79">
        <f>SUM(B29:B32)</f>
        <v>4250549.16</v>
      </c>
      <c r="C33" s="79">
        <f t="shared" ref="C33:H33" si="6">SUM(C29:C32)</f>
        <v>3960161.2999999989</v>
      </c>
      <c r="D33" s="79">
        <f t="shared" si="6"/>
        <v>4894426.0000000009</v>
      </c>
      <c r="E33" s="79">
        <f>SUM(E29:E32)</f>
        <v>4656608.0599999987</v>
      </c>
      <c r="F33" s="79">
        <f t="shared" si="6"/>
        <v>4737453.5000000009</v>
      </c>
      <c r="G33" s="79">
        <f t="shared" si="6"/>
        <v>5007258.74</v>
      </c>
      <c r="H33" s="79">
        <f t="shared" si="6"/>
        <v>4264052.3099999996</v>
      </c>
      <c r="I33" s="79">
        <f>SUM(I29:I32)</f>
        <v>6470136.9899999984</v>
      </c>
      <c r="J33" s="79">
        <f>SUM(J29:J32)</f>
        <v>1040352.5300000042</v>
      </c>
      <c r="K33" s="79">
        <f>SUM(K29:K32)</f>
        <v>3451187.6299999971</v>
      </c>
      <c r="L33" s="79">
        <f>SUM(L29:L32)</f>
        <v>3420743.7100000009</v>
      </c>
      <c r="M33" s="79">
        <f>SUM(M29:M32)</f>
        <v>3969557.459999999</v>
      </c>
      <c r="N33" s="91">
        <f>SUM(B33:M33)</f>
        <v>50122487.389999993</v>
      </c>
    </row>
    <row r="34" spans="1:14" s="77" customFormat="1" ht="14.1" customHeight="1" x14ac:dyDescent="0.25">
      <c r="A34" s="78" t="s">
        <v>187</v>
      </c>
      <c r="B34" s="94">
        <f t="shared" ref="B34:N34" si="7">B33</f>
        <v>4250549.16</v>
      </c>
      <c r="C34" s="94">
        <f t="shared" si="7"/>
        <v>3960161.2999999989</v>
      </c>
      <c r="D34" s="94">
        <f t="shared" si="7"/>
        <v>4894426.0000000009</v>
      </c>
      <c r="E34" s="94">
        <f>E33</f>
        <v>4656608.0599999987</v>
      </c>
      <c r="F34" s="94">
        <f t="shared" si="7"/>
        <v>4737453.5000000009</v>
      </c>
      <c r="G34" s="94">
        <f t="shared" si="7"/>
        <v>5007258.74</v>
      </c>
      <c r="H34" s="94">
        <f t="shared" si="7"/>
        <v>4264052.3099999996</v>
      </c>
      <c r="I34" s="94">
        <f t="shared" si="7"/>
        <v>6470136.9899999984</v>
      </c>
      <c r="J34" s="94">
        <f t="shared" si="7"/>
        <v>1040352.5300000042</v>
      </c>
      <c r="K34" s="94">
        <f t="shared" si="7"/>
        <v>3451187.6299999971</v>
      </c>
      <c r="L34" s="94">
        <f t="shared" si="7"/>
        <v>3420743.7100000009</v>
      </c>
      <c r="M34" s="94">
        <f t="shared" si="7"/>
        <v>3969557.459999999</v>
      </c>
      <c r="N34" s="94">
        <f t="shared" si="7"/>
        <v>50122487.389999993</v>
      </c>
    </row>
    <row r="35" spans="1:14" s="77" customFormat="1" ht="8.1" customHeight="1" x14ac:dyDescent="0.2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9"/>
    </row>
    <row r="36" spans="1:14" s="77" customFormat="1" ht="14.1" customHeight="1" thickBot="1" x14ac:dyDescent="0.3">
      <c r="A36" s="100" t="s">
        <v>188</v>
      </c>
      <c r="B36" s="101">
        <f>B27+B34</f>
        <v>375487585.97999996</v>
      </c>
      <c r="C36" s="101">
        <f t="shared" ref="C36:M36" si="8">C27+C34</f>
        <v>333827127.25000006</v>
      </c>
      <c r="D36" s="101">
        <f t="shared" si="8"/>
        <v>380534567.38000005</v>
      </c>
      <c r="E36" s="101">
        <f>E27+E34</f>
        <v>363180263.38999999</v>
      </c>
      <c r="F36" s="101">
        <f t="shared" si="8"/>
        <v>384133160.45000005</v>
      </c>
      <c r="G36" s="101">
        <f t="shared" si="8"/>
        <v>365748052.76999992</v>
      </c>
      <c r="H36" s="101">
        <f>H27+H34</f>
        <v>376759980.21000004</v>
      </c>
      <c r="I36" s="101">
        <f t="shared" si="8"/>
        <v>391689410.37999988</v>
      </c>
      <c r="J36" s="101">
        <f t="shared" si="8"/>
        <v>367076818.19000006</v>
      </c>
      <c r="K36" s="101">
        <f t="shared" si="8"/>
        <v>387402723.57000023</v>
      </c>
      <c r="L36" s="101">
        <f t="shared" si="8"/>
        <v>381891105.30999959</v>
      </c>
      <c r="M36" s="101">
        <f t="shared" si="8"/>
        <v>425201801.22000027</v>
      </c>
      <c r="N36" s="102">
        <f>SUM(B36:M36)</f>
        <v>4532932596.0999994</v>
      </c>
    </row>
    <row r="37" spans="1:14" s="77" customFormat="1" ht="9.9499999999999993" customHeight="1" thickTop="1" thickBot="1" x14ac:dyDescent="0.3">
      <c r="A37" s="152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53"/>
    </row>
    <row r="38" spans="1:14" s="90" customFormat="1" ht="14.1" customHeight="1" thickTop="1" x14ac:dyDescent="0.25">
      <c r="A38" s="106" t="s">
        <v>189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  <c r="L38" s="109"/>
      <c r="M38" s="109"/>
      <c r="N38" s="110" t="s">
        <v>12</v>
      </c>
    </row>
    <row r="39" spans="1:14" s="90" customFormat="1" ht="14.1" customHeight="1" x14ac:dyDescent="0.25">
      <c r="A39" s="111" t="s">
        <v>190</v>
      </c>
      <c r="B39" s="79">
        <f>SUM(B40:B52)</f>
        <v>11882260.299999999</v>
      </c>
      <c r="C39" s="79">
        <f t="shared" ref="C39:N39" si="9">SUM(C40:C52)</f>
        <v>10228671.799999999</v>
      </c>
      <c r="D39" s="79">
        <f t="shared" si="9"/>
        <v>11810245.91</v>
      </c>
      <c r="E39" s="79">
        <f>SUM(E40:E52)</f>
        <v>11884790.66</v>
      </c>
      <c r="F39" s="79">
        <f t="shared" si="9"/>
        <v>10363877.07</v>
      </c>
      <c r="G39" s="79">
        <f t="shared" si="9"/>
        <v>10468285.849999998</v>
      </c>
      <c r="H39" s="79">
        <f>SUM(H40:H52)</f>
        <v>11165151.780000001</v>
      </c>
      <c r="I39" s="79">
        <f t="shared" si="9"/>
        <v>13515227.639999997</v>
      </c>
      <c r="J39" s="79">
        <f t="shared" si="9"/>
        <v>10186381.689999999</v>
      </c>
      <c r="K39" s="79">
        <f t="shared" si="9"/>
        <v>13008297.510000002</v>
      </c>
      <c r="L39" s="79">
        <f t="shared" si="9"/>
        <v>12139916.640000001</v>
      </c>
      <c r="M39" s="79">
        <f>SUM(M40:M52)</f>
        <v>12240024.540000001</v>
      </c>
      <c r="N39" s="99">
        <f t="shared" si="9"/>
        <v>138893131.39000002</v>
      </c>
    </row>
    <row r="40" spans="1:14" s="90" customFormat="1" ht="14.1" customHeight="1" x14ac:dyDescent="0.25">
      <c r="A40" s="83" t="s">
        <v>211</v>
      </c>
      <c r="B40" s="149">
        <v>330577.23</v>
      </c>
      <c r="C40" s="149">
        <v>346058.52</v>
      </c>
      <c r="D40" s="149">
        <v>126988.08</v>
      </c>
      <c r="E40" s="149">
        <v>536468.55000000005</v>
      </c>
      <c r="F40" s="149">
        <v>535536.99</v>
      </c>
      <c r="G40" s="149">
        <v>612261.53</v>
      </c>
      <c r="H40" s="149">
        <v>562696.46</v>
      </c>
      <c r="I40" s="149">
        <v>266639.34000000003</v>
      </c>
      <c r="J40" s="149">
        <v>344032.95</v>
      </c>
      <c r="K40" s="149">
        <v>607226.78</v>
      </c>
      <c r="L40" s="149">
        <v>685857.07</v>
      </c>
      <c r="M40" s="149">
        <v>71675.73</v>
      </c>
      <c r="N40" s="89">
        <f t="shared" ref="N40:N52" si="10">SUM(B40:M40)</f>
        <v>5026019.2300000004</v>
      </c>
    </row>
    <row r="41" spans="1:14" s="90" customFormat="1" ht="14.1" customHeight="1" x14ac:dyDescent="0.25">
      <c r="A41" s="83" t="s">
        <v>212</v>
      </c>
      <c r="B41" s="149">
        <v>14294.18</v>
      </c>
      <c r="C41" s="149">
        <v>9667.76</v>
      </c>
      <c r="D41" s="149">
        <v>24472.22</v>
      </c>
      <c r="E41" s="149">
        <v>16045.17</v>
      </c>
      <c r="F41" s="149">
        <v>11758</v>
      </c>
      <c r="G41" s="149">
        <v>6986.02</v>
      </c>
      <c r="H41" s="149">
        <v>23229.85</v>
      </c>
      <c r="I41" s="149">
        <v>21630.79</v>
      </c>
      <c r="J41" s="149">
        <v>17494.91</v>
      </c>
      <c r="K41" s="149">
        <v>16778.79</v>
      </c>
      <c r="L41" s="149">
        <v>15258.33</v>
      </c>
      <c r="M41" s="149">
        <v>32493.41</v>
      </c>
      <c r="N41" s="89">
        <f t="shared" si="10"/>
        <v>210109.43000000002</v>
      </c>
    </row>
    <row r="42" spans="1:14" s="90" customFormat="1" ht="14.1" customHeight="1" x14ac:dyDescent="0.25">
      <c r="A42" s="83" t="s">
        <v>213</v>
      </c>
      <c r="B42" s="149">
        <v>1087547.98</v>
      </c>
      <c r="C42" s="149">
        <v>1405442</v>
      </c>
      <c r="D42" s="149">
        <v>1531152.22</v>
      </c>
      <c r="E42" s="149">
        <v>1163815.0900000001</v>
      </c>
      <c r="F42" s="149">
        <v>1405825.39</v>
      </c>
      <c r="G42" s="149">
        <v>1186307.03</v>
      </c>
      <c r="H42" s="149">
        <v>1120099.8400000001</v>
      </c>
      <c r="I42" s="149">
        <v>2227496.7599999998</v>
      </c>
      <c r="J42" s="149">
        <v>1215752.8500000001</v>
      </c>
      <c r="K42" s="149">
        <v>1488667.72</v>
      </c>
      <c r="L42" s="149">
        <v>1193199.06</v>
      </c>
      <c r="M42" s="149">
        <v>1526550.58</v>
      </c>
      <c r="N42" s="89">
        <f t="shared" si="10"/>
        <v>16551856.520000001</v>
      </c>
    </row>
    <row r="43" spans="1:14" s="90" customFormat="1" ht="14.1" customHeight="1" x14ac:dyDescent="0.25">
      <c r="A43" s="83" t="s">
        <v>214</v>
      </c>
      <c r="B43" s="149">
        <v>534653.52</v>
      </c>
      <c r="C43" s="149">
        <v>264627.15999999997</v>
      </c>
      <c r="D43" s="149">
        <v>468936.19</v>
      </c>
      <c r="E43" s="149">
        <v>480770.67</v>
      </c>
      <c r="F43" s="149">
        <v>270206.71999999997</v>
      </c>
      <c r="G43" s="149">
        <v>546527.17000000004</v>
      </c>
      <c r="H43" s="149">
        <v>807379.43</v>
      </c>
      <c r="I43" s="149">
        <v>686183.19</v>
      </c>
      <c r="J43" s="149">
        <v>485719.75</v>
      </c>
      <c r="K43" s="149">
        <v>687557.27</v>
      </c>
      <c r="L43" s="149">
        <v>328730.78000000003</v>
      </c>
      <c r="M43" s="149">
        <v>512235.56</v>
      </c>
      <c r="N43" s="89">
        <f t="shared" si="10"/>
        <v>6073527.4100000001</v>
      </c>
    </row>
    <row r="44" spans="1:14" s="90" customFormat="1" ht="14.1" customHeight="1" x14ac:dyDescent="0.25">
      <c r="A44" s="83" t="s">
        <v>215</v>
      </c>
      <c r="B44" s="149">
        <v>7410411.7999999998</v>
      </c>
      <c r="C44" s="149">
        <v>6011535.0199999996</v>
      </c>
      <c r="D44" s="149">
        <v>6788871.4900000002</v>
      </c>
      <c r="E44" s="149">
        <v>6834880.0300000003</v>
      </c>
      <c r="F44" s="149">
        <v>5763285.5599999996</v>
      </c>
      <c r="G44" s="149">
        <v>5591749.3700000001</v>
      </c>
      <c r="H44" s="149">
        <v>5727953.2400000002</v>
      </c>
      <c r="I44" s="149">
        <v>7138213.8600000003</v>
      </c>
      <c r="J44" s="149">
        <v>5621525.5599999996</v>
      </c>
      <c r="K44" s="149">
        <v>7884858.5199999996</v>
      </c>
      <c r="L44" s="149">
        <v>7161812.3200000003</v>
      </c>
      <c r="M44" s="149">
        <v>7782813.04</v>
      </c>
      <c r="N44" s="89">
        <f t="shared" si="10"/>
        <v>79717909.810000017</v>
      </c>
    </row>
    <row r="45" spans="1:14" s="90" customFormat="1" ht="14.1" customHeight="1" x14ac:dyDescent="0.25">
      <c r="A45" s="83" t="s">
        <v>216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3312.88</v>
      </c>
      <c r="J45" s="149">
        <v>4100</v>
      </c>
      <c r="K45" s="149">
        <v>0</v>
      </c>
      <c r="L45" s="149">
        <v>0</v>
      </c>
      <c r="M45" s="149">
        <v>0</v>
      </c>
      <c r="N45" s="89">
        <f t="shared" si="10"/>
        <v>7412.88</v>
      </c>
    </row>
    <row r="46" spans="1:14" s="90" customFormat="1" ht="14.1" customHeight="1" x14ac:dyDescent="0.25">
      <c r="A46" s="83" t="s">
        <v>217</v>
      </c>
      <c r="B46" s="149">
        <v>27226.05</v>
      </c>
      <c r="C46" s="149">
        <v>20735.23</v>
      </c>
      <c r="D46" s="149">
        <v>18735.259999999998</v>
      </c>
      <c r="E46" s="149">
        <v>22829.96</v>
      </c>
      <c r="F46" s="149">
        <v>59623.32</v>
      </c>
      <c r="G46" s="149">
        <v>93028.94</v>
      </c>
      <c r="H46" s="149">
        <v>43000.46</v>
      </c>
      <c r="I46" s="149">
        <v>25097.62</v>
      </c>
      <c r="J46" s="149">
        <v>22436.94</v>
      </c>
      <c r="K46" s="149">
        <v>42406.68</v>
      </c>
      <c r="L46" s="149">
        <v>102589.24</v>
      </c>
      <c r="M46" s="149">
        <v>100980.56</v>
      </c>
      <c r="N46" s="89">
        <f t="shared" si="10"/>
        <v>578690.26</v>
      </c>
    </row>
    <row r="47" spans="1:14" s="90" customFormat="1" ht="14.1" customHeight="1" x14ac:dyDescent="0.25">
      <c r="A47" s="83" t="s">
        <v>218</v>
      </c>
      <c r="B47" s="149">
        <v>88077.6</v>
      </c>
      <c r="C47" s="149">
        <v>193220.13</v>
      </c>
      <c r="D47" s="149">
        <v>228389.36</v>
      </c>
      <c r="E47" s="149">
        <v>197282.76</v>
      </c>
      <c r="F47" s="149">
        <v>292567.27</v>
      </c>
      <c r="G47" s="149">
        <v>134496.21</v>
      </c>
      <c r="H47" s="149">
        <v>192803.62</v>
      </c>
      <c r="I47" s="149">
        <v>158488.51999999999</v>
      </c>
      <c r="J47" s="149">
        <v>135960.66</v>
      </c>
      <c r="K47" s="149">
        <v>120565.06</v>
      </c>
      <c r="L47" s="149">
        <v>167171.88</v>
      </c>
      <c r="M47" s="149">
        <v>154076.04999999999</v>
      </c>
      <c r="N47" s="89">
        <f t="shared" si="10"/>
        <v>2063099.1200000003</v>
      </c>
    </row>
    <row r="48" spans="1:14" s="90" customFormat="1" ht="14.1" customHeight="1" x14ac:dyDescent="0.25">
      <c r="A48" s="83" t="s">
        <v>219</v>
      </c>
      <c r="B48" s="149">
        <v>1130049.8400000001</v>
      </c>
      <c r="C48" s="149">
        <v>964584.54</v>
      </c>
      <c r="D48" s="149">
        <v>1124427.3</v>
      </c>
      <c r="E48" s="149">
        <v>1196866.05</v>
      </c>
      <c r="F48" s="149">
        <v>1189491.83</v>
      </c>
      <c r="G48" s="149">
        <v>1175897.6399999999</v>
      </c>
      <c r="H48" s="149">
        <v>1180758.8999999999</v>
      </c>
      <c r="I48" s="149">
        <v>1196549.1100000001</v>
      </c>
      <c r="J48" s="149">
        <v>1122120.1200000001</v>
      </c>
      <c r="K48" s="149">
        <v>1352481.06</v>
      </c>
      <c r="L48" s="149">
        <v>1320982.1100000001</v>
      </c>
      <c r="M48" s="149">
        <v>1141393.78</v>
      </c>
      <c r="N48" s="89">
        <f t="shared" si="10"/>
        <v>14095602.279999997</v>
      </c>
    </row>
    <row r="49" spans="1:14" s="90" customFormat="1" ht="14.1" customHeight="1" x14ac:dyDescent="0.25">
      <c r="A49" s="83" t="s">
        <v>220</v>
      </c>
      <c r="B49" s="149">
        <v>2360</v>
      </c>
      <c r="C49" s="149">
        <v>1128</v>
      </c>
      <c r="D49" s="149">
        <f>2069.8</f>
        <v>2069.8000000000002</v>
      </c>
      <c r="E49" s="149">
        <f>81.42+9375</f>
        <v>9456.42</v>
      </c>
      <c r="F49" s="149">
        <v>3442.97</v>
      </c>
      <c r="G49" s="149">
        <f>6194.12+0</f>
        <v>6194.12</v>
      </c>
      <c r="H49" s="149">
        <v>1334.35</v>
      </c>
      <c r="I49" s="149">
        <v>430</v>
      </c>
      <c r="J49" s="149">
        <v>1252.69</v>
      </c>
      <c r="K49" s="149">
        <v>1967.9</v>
      </c>
      <c r="L49" s="149">
        <f>5073.4</f>
        <v>5073.3999999999996</v>
      </c>
      <c r="M49" s="149">
        <v>2766.9</v>
      </c>
      <c r="N49" s="89">
        <f t="shared" si="10"/>
        <v>37476.550000000003</v>
      </c>
    </row>
    <row r="50" spans="1:14" s="90" customFormat="1" ht="14.1" customHeight="1" x14ac:dyDescent="0.25">
      <c r="A50" s="83" t="s">
        <v>221</v>
      </c>
      <c r="B50" s="149">
        <f>136936.89+45301.6</f>
        <v>182238.49000000002</v>
      </c>
      <c r="C50" s="149">
        <v>317879.78999999998</v>
      </c>
      <c r="D50" s="149">
        <v>452561.71</v>
      </c>
      <c r="E50" s="149">
        <v>208600.12</v>
      </c>
      <c r="F50" s="149">
        <f>170763.67+56295.4</f>
        <v>227059.07</v>
      </c>
      <c r="G50" s="149">
        <v>348195.37</v>
      </c>
      <c r="H50" s="149">
        <v>321407.83</v>
      </c>
      <c r="I50" s="149">
        <v>574869.86</v>
      </c>
      <c r="J50" s="149">
        <v>262122.08</v>
      </c>
      <c r="K50" s="149">
        <v>232368.38</v>
      </c>
      <c r="L50" s="149">
        <v>216522.51</v>
      </c>
      <c r="M50" s="149">
        <v>124926.09</v>
      </c>
      <c r="N50" s="89">
        <f t="shared" si="10"/>
        <v>3468751.3</v>
      </c>
    </row>
    <row r="51" spans="1:14" s="90" customFormat="1" ht="14.1" customHeight="1" x14ac:dyDescent="0.25">
      <c r="A51" s="83" t="s">
        <v>222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89">
        <f t="shared" si="10"/>
        <v>0</v>
      </c>
    </row>
    <row r="52" spans="1:14" s="90" customFormat="1" ht="14.1" customHeight="1" x14ac:dyDescent="0.25">
      <c r="A52" s="83" t="s">
        <v>223</v>
      </c>
      <c r="B52" s="149">
        <v>1074823.6100000001</v>
      </c>
      <c r="C52" s="149">
        <v>693793.65</v>
      </c>
      <c r="D52" s="149">
        <v>1043642.28</v>
      </c>
      <c r="E52" s="149">
        <v>1217775.8400000001</v>
      </c>
      <c r="F52" s="149">
        <v>605079.94999999995</v>
      </c>
      <c r="G52" s="149">
        <v>766642.45</v>
      </c>
      <c r="H52" s="149">
        <v>1184487.8</v>
      </c>
      <c r="I52" s="149">
        <v>1216315.71</v>
      </c>
      <c r="J52" s="149">
        <v>953863.18</v>
      </c>
      <c r="K52" s="149">
        <v>573419.35</v>
      </c>
      <c r="L52" s="149">
        <v>942719.94</v>
      </c>
      <c r="M52" s="149">
        <v>790112.84</v>
      </c>
      <c r="N52" s="89">
        <f t="shared" si="10"/>
        <v>11062676.6</v>
      </c>
    </row>
    <row r="53" spans="1:14" s="90" customFormat="1" ht="8.1" customHeight="1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112"/>
      <c r="K53" s="84"/>
      <c r="L53" s="84"/>
      <c r="M53" s="84"/>
      <c r="N53" s="89"/>
    </row>
    <row r="54" spans="1:14" s="90" customFormat="1" ht="14.1" customHeight="1" x14ac:dyDescent="0.25">
      <c r="A54" s="78" t="s">
        <v>191</v>
      </c>
      <c r="B54" s="79">
        <f t="shared" ref="B54:N54" si="11">SUM(B55:B69)</f>
        <v>57020447.25</v>
      </c>
      <c r="C54" s="79">
        <f t="shared" si="11"/>
        <v>57931000.210000008</v>
      </c>
      <c r="D54" s="79">
        <f t="shared" si="11"/>
        <v>56595662.31000001</v>
      </c>
      <c r="E54" s="79">
        <f t="shared" si="11"/>
        <v>59215831.229999989</v>
      </c>
      <c r="F54" s="79">
        <f t="shared" si="11"/>
        <v>59876024.759999998</v>
      </c>
      <c r="G54" s="79">
        <f t="shared" si="11"/>
        <v>58232878.070000008</v>
      </c>
      <c r="H54" s="79">
        <f t="shared" si="11"/>
        <v>65253992.890000001</v>
      </c>
      <c r="I54" s="79">
        <f t="shared" si="11"/>
        <v>68582972.519999996</v>
      </c>
      <c r="J54" s="79">
        <f t="shared" si="11"/>
        <v>68470117.74000001</v>
      </c>
      <c r="K54" s="79">
        <f>SUM(K55:K69)</f>
        <v>70290161.810000002</v>
      </c>
      <c r="L54" s="79">
        <f t="shared" si="11"/>
        <v>67081282.059999995</v>
      </c>
      <c r="M54" s="79">
        <f t="shared" si="11"/>
        <v>73135005.049999997</v>
      </c>
      <c r="N54" s="99">
        <f t="shared" si="11"/>
        <v>761685375.89999998</v>
      </c>
    </row>
    <row r="55" spans="1:14" s="90" customFormat="1" ht="14.1" customHeight="1" x14ac:dyDescent="0.25">
      <c r="A55" s="83" t="s">
        <v>224</v>
      </c>
      <c r="B55" s="149">
        <v>2571842.9</v>
      </c>
      <c r="C55" s="149">
        <v>3136199.05</v>
      </c>
      <c r="D55" s="149">
        <v>3031087.34</v>
      </c>
      <c r="E55" s="149">
        <v>3112447.3</v>
      </c>
      <c r="F55" s="149">
        <v>3216701.28</v>
      </c>
      <c r="G55" s="149">
        <v>1796183.96</v>
      </c>
      <c r="H55" s="149">
        <v>3333971.45</v>
      </c>
      <c r="I55" s="149">
        <v>3080629.64</v>
      </c>
      <c r="J55" s="149">
        <v>3011044.31</v>
      </c>
      <c r="K55" s="149">
        <v>3439723.19</v>
      </c>
      <c r="L55" s="149">
        <v>3075033.31</v>
      </c>
      <c r="M55" s="149">
        <v>4180704.7</v>
      </c>
      <c r="N55" s="89">
        <f>SUM(B55:M55)</f>
        <v>36985568.43</v>
      </c>
    </row>
    <row r="56" spans="1:14" s="90" customFormat="1" ht="14.1" customHeight="1" x14ac:dyDescent="0.25">
      <c r="A56" s="83" t="s">
        <v>225</v>
      </c>
      <c r="B56" s="149">
        <v>744057.26</v>
      </c>
      <c r="C56" s="149">
        <v>717750.14</v>
      </c>
      <c r="D56" s="149">
        <v>737375.36</v>
      </c>
      <c r="E56" s="149">
        <v>700367.13</v>
      </c>
      <c r="F56" s="149">
        <v>799172.06</v>
      </c>
      <c r="G56" s="149">
        <v>798856.85</v>
      </c>
      <c r="H56" s="149">
        <v>767097.66</v>
      </c>
      <c r="I56" s="149">
        <v>742475.77</v>
      </c>
      <c r="J56" s="149">
        <v>744097.43</v>
      </c>
      <c r="K56" s="149">
        <v>777194.54</v>
      </c>
      <c r="L56" s="149">
        <v>770790.8</v>
      </c>
      <c r="M56" s="149">
        <v>740532.61</v>
      </c>
      <c r="N56" s="89">
        <f t="shared" ref="N56:N66" si="12">SUM(B56:M56)</f>
        <v>9039767.6099999994</v>
      </c>
    </row>
    <row r="57" spans="1:14" s="90" customFormat="1" ht="14.1" customHeight="1" x14ac:dyDescent="0.25">
      <c r="A57" s="83" t="s">
        <v>226</v>
      </c>
      <c r="B57" s="149">
        <v>33188290.59</v>
      </c>
      <c r="C57" s="149">
        <v>31998743.010000002</v>
      </c>
      <c r="D57" s="149">
        <v>29245524.530000001</v>
      </c>
      <c r="E57" s="149">
        <v>30839028.84</v>
      </c>
      <c r="F57" s="149">
        <v>30845775.57</v>
      </c>
      <c r="G57" s="149">
        <v>32009440.73</v>
      </c>
      <c r="H57" s="149">
        <v>37057535.640000001</v>
      </c>
      <c r="I57" s="149">
        <v>39655373</v>
      </c>
      <c r="J57" s="149">
        <v>39573330.240000002</v>
      </c>
      <c r="K57" s="149">
        <v>40207476.399999999</v>
      </c>
      <c r="L57" s="149">
        <v>40183729.329999998</v>
      </c>
      <c r="M57" s="149">
        <v>40731833.170000002</v>
      </c>
      <c r="N57" s="89">
        <f>SUM(B57:M57)</f>
        <v>425536081.04999995</v>
      </c>
    </row>
    <row r="58" spans="1:14" s="90" customFormat="1" ht="14.1" customHeight="1" x14ac:dyDescent="0.25">
      <c r="A58" s="83" t="s">
        <v>227</v>
      </c>
      <c r="B58" s="149">
        <v>615603.5</v>
      </c>
      <c r="C58" s="149">
        <v>204710.13</v>
      </c>
      <c r="D58" s="149">
        <v>320293.8</v>
      </c>
      <c r="E58" s="149">
        <v>505706.06</v>
      </c>
      <c r="F58" s="149">
        <v>555968.14</v>
      </c>
      <c r="G58" s="149">
        <v>188348.45</v>
      </c>
      <c r="H58" s="149">
        <v>215502.7</v>
      </c>
      <c r="I58" s="149">
        <v>296133.7</v>
      </c>
      <c r="J58" s="149">
        <v>463369.31</v>
      </c>
      <c r="K58" s="149">
        <v>459969.85</v>
      </c>
      <c r="L58" s="149">
        <v>482974.48</v>
      </c>
      <c r="M58" s="149">
        <v>331723</v>
      </c>
      <c r="N58" s="89">
        <f t="shared" si="12"/>
        <v>4640303.120000001</v>
      </c>
    </row>
    <row r="59" spans="1:14" s="90" customFormat="1" ht="14.1" customHeight="1" x14ac:dyDescent="0.25">
      <c r="A59" s="83" t="s">
        <v>228</v>
      </c>
      <c r="B59" s="149">
        <v>50686.61</v>
      </c>
      <c r="C59" s="149">
        <v>4378.68</v>
      </c>
      <c r="D59" s="149">
        <v>38916.959999999999</v>
      </c>
      <c r="E59" s="149">
        <v>41602.76</v>
      </c>
      <c r="F59" s="149">
        <v>99079.35</v>
      </c>
      <c r="G59" s="149">
        <v>94317.07</v>
      </c>
      <c r="H59" s="149">
        <v>67992.91</v>
      </c>
      <c r="I59" s="149">
        <v>85137.21</v>
      </c>
      <c r="J59" s="149">
        <v>127228.84</v>
      </c>
      <c r="K59" s="149">
        <v>71066.62</v>
      </c>
      <c r="L59" s="149">
        <v>90592.28</v>
      </c>
      <c r="M59" s="149">
        <v>77459.25</v>
      </c>
      <c r="N59" s="89">
        <f>SUM(B59:M59)</f>
        <v>848458.54000000015</v>
      </c>
    </row>
    <row r="60" spans="1:14" s="90" customFormat="1" ht="14.1" customHeight="1" x14ac:dyDescent="0.25">
      <c r="A60" s="83" t="s">
        <v>229</v>
      </c>
      <c r="B60" s="149">
        <v>137539.57999999999</v>
      </c>
      <c r="C60" s="149">
        <v>26908.76</v>
      </c>
      <c r="D60" s="149">
        <v>35655.01</v>
      </c>
      <c r="E60" s="149">
        <v>46281.68</v>
      </c>
      <c r="F60" s="149">
        <v>438707.91</v>
      </c>
      <c r="G60" s="149">
        <v>87182.89</v>
      </c>
      <c r="H60" s="149">
        <v>80430.62</v>
      </c>
      <c r="I60" s="149">
        <v>82971.520000000004</v>
      </c>
      <c r="J60" s="149">
        <v>42411.86</v>
      </c>
      <c r="K60" s="149">
        <v>65578.95</v>
      </c>
      <c r="L60" s="149">
        <v>67358.09</v>
      </c>
      <c r="M60" s="149">
        <v>72770.13</v>
      </c>
      <c r="N60" s="89">
        <f t="shared" si="12"/>
        <v>1183797</v>
      </c>
    </row>
    <row r="61" spans="1:14" s="90" customFormat="1" ht="14.1" customHeight="1" x14ac:dyDescent="0.25">
      <c r="A61" s="83" t="s">
        <v>230</v>
      </c>
      <c r="B61" s="149">
        <f>655511.75-151706.32</f>
        <v>503805.43</v>
      </c>
      <c r="C61" s="149">
        <f>1276116.48-166858.45</f>
        <v>1109258.03</v>
      </c>
      <c r="D61" s="149">
        <v>801751.87</v>
      </c>
      <c r="E61" s="149">
        <v>835199.29</v>
      </c>
      <c r="F61" s="149">
        <f>1047776-193813.37</f>
        <v>853962.63</v>
      </c>
      <c r="G61" s="149">
        <v>878163.78</v>
      </c>
      <c r="H61" s="149">
        <f>1057417.7-153758.28</f>
        <v>903659.41999999993</v>
      </c>
      <c r="I61" s="149">
        <v>975445.89</v>
      </c>
      <c r="J61" s="149">
        <v>843199.16</v>
      </c>
      <c r="K61" s="149">
        <v>953253.56</v>
      </c>
      <c r="L61" s="149">
        <v>870371.6</v>
      </c>
      <c r="M61" s="149">
        <v>921669.64</v>
      </c>
      <c r="N61" s="89">
        <f>SUM(B61:M61)</f>
        <v>10449740.300000001</v>
      </c>
    </row>
    <row r="62" spans="1:14" s="90" customFormat="1" ht="14.1" customHeight="1" x14ac:dyDescent="0.25">
      <c r="A62" s="83" t="s">
        <v>231</v>
      </c>
      <c r="B62" s="149">
        <v>521541.12</v>
      </c>
      <c r="C62" s="149">
        <v>688607.53</v>
      </c>
      <c r="D62" s="149">
        <v>632994.56000000006</v>
      </c>
      <c r="E62" s="149">
        <v>590131.84</v>
      </c>
      <c r="F62" s="149">
        <v>771637.93</v>
      </c>
      <c r="G62" s="149">
        <v>681393.04</v>
      </c>
      <c r="H62" s="149">
        <v>634521.79</v>
      </c>
      <c r="I62" s="149">
        <v>854361.68</v>
      </c>
      <c r="J62" s="149">
        <v>610989.67000000004</v>
      </c>
      <c r="K62" s="149">
        <v>694258.35</v>
      </c>
      <c r="L62" s="149">
        <v>421545.61</v>
      </c>
      <c r="M62" s="149">
        <v>1115398.8500000001</v>
      </c>
      <c r="N62" s="89">
        <f>SUM(B62:M62)</f>
        <v>8217381.9700000007</v>
      </c>
    </row>
    <row r="63" spans="1:14" s="90" customFormat="1" ht="14.1" customHeight="1" x14ac:dyDescent="0.25">
      <c r="A63" s="83" t="s">
        <v>232</v>
      </c>
      <c r="B63" s="149">
        <v>66012.240000000005</v>
      </c>
      <c r="C63" s="149">
        <v>99461.71</v>
      </c>
      <c r="D63" s="149">
        <v>111247.85</v>
      </c>
      <c r="E63" s="149">
        <v>118900.12</v>
      </c>
      <c r="F63" s="149">
        <v>164770.87</v>
      </c>
      <c r="G63" s="149">
        <v>91759.39</v>
      </c>
      <c r="H63" s="149">
        <v>113412.03</v>
      </c>
      <c r="I63" s="149">
        <v>111430.9</v>
      </c>
      <c r="J63" s="149">
        <v>97531.199999999997</v>
      </c>
      <c r="K63" s="149">
        <v>159990.09</v>
      </c>
      <c r="L63" s="149">
        <v>19720.98</v>
      </c>
      <c r="M63" s="149">
        <v>145648.12</v>
      </c>
      <c r="N63" s="89">
        <f>SUM(B63:M63)</f>
        <v>1299885.5</v>
      </c>
    </row>
    <row r="64" spans="1:14" s="90" customFormat="1" ht="13.5" customHeight="1" x14ac:dyDescent="0.25">
      <c r="A64" s="83" t="s">
        <v>233</v>
      </c>
      <c r="B64" s="149">
        <v>0</v>
      </c>
      <c r="C64" s="149">
        <v>0</v>
      </c>
      <c r="D64" s="149">
        <v>0</v>
      </c>
      <c r="E64" s="149">
        <v>0</v>
      </c>
      <c r="F64" s="149">
        <v>11800</v>
      </c>
      <c r="G64" s="149">
        <v>7697.14</v>
      </c>
      <c r="H64" s="149">
        <v>0</v>
      </c>
      <c r="I64" s="149">
        <v>0</v>
      </c>
      <c r="J64" s="149">
        <v>2110</v>
      </c>
      <c r="K64" s="149">
        <v>0</v>
      </c>
      <c r="L64" s="149">
        <v>0</v>
      </c>
      <c r="M64" s="149">
        <v>0</v>
      </c>
      <c r="N64" s="89">
        <f>SUM(B64:M64)</f>
        <v>21607.14</v>
      </c>
    </row>
    <row r="65" spans="1:14" s="90" customFormat="1" ht="14.1" customHeight="1" x14ac:dyDescent="0.25">
      <c r="A65" s="83" t="s">
        <v>234</v>
      </c>
      <c r="B65" s="149">
        <v>13024708.08</v>
      </c>
      <c r="C65" s="149">
        <v>14150992.57</v>
      </c>
      <c r="D65" s="149">
        <v>14927164.619999999</v>
      </c>
      <c r="E65" s="149">
        <v>15958159.109999999</v>
      </c>
      <c r="F65" s="149">
        <v>14661150.98</v>
      </c>
      <c r="G65" s="149">
        <v>14721139.52</v>
      </c>
      <c r="H65" s="149">
        <v>15635409.84</v>
      </c>
      <c r="I65" s="149">
        <v>15011325.52</v>
      </c>
      <c r="J65" s="149">
        <v>13857654.869999999</v>
      </c>
      <c r="K65" s="149">
        <v>15622325.560000001</v>
      </c>
      <c r="L65" s="149">
        <v>14294738.43</v>
      </c>
      <c r="M65" s="149">
        <v>16422703.189999999</v>
      </c>
      <c r="N65" s="89">
        <f t="shared" si="12"/>
        <v>178287472.28999999</v>
      </c>
    </row>
    <row r="66" spans="1:14" s="90" customFormat="1" ht="14.1" customHeight="1" x14ac:dyDescent="0.25">
      <c r="A66" s="83" t="s">
        <v>235</v>
      </c>
      <c r="B66" s="149">
        <v>941108.06</v>
      </c>
      <c r="C66" s="149">
        <v>873142.35</v>
      </c>
      <c r="D66" s="149">
        <v>1058468.58</v>
      </c>
      <c r="E66" s="149">
        <v>1049591.76</v>
      </c>
      <c r="F66" s="149">
        <v>859576.51</v>
      </c>
      <c r="G66" s="149">
        <v>950399.73</v>
      </c>
      <c r="H66" s="149">
        <v>1157731.1200000001</v>
      </c>
      <c r="I66" s="149">
        <v>1344129.58</v>
      </c>
      <c r="J66" s="149">
        <v>1245320.6100000001</v>
      </c>
      <c r="K66" s="149">
        <v>1508278.84</v>
      </c>
      <c r="L66" s="149">
        <v>1238197.3600000001</v>
      </c>
      <c r="M66" s="149">
        <v>1535013.18</v>
      </c>
      <c r="N66" s="89">
        <f t="shared" si="12"/>
        <v>13760957.68</v>
      </c>
    </row>
    <row r="67" spans="1:14" s="90" customFormat="1" ht="14.1" customHeight="1" x14ac:dyDescent="0.25">
      <c r="A67" s="83" t="s">
        <v>236</v>
      </c>
      <c r="B67" s="149">
        <v>4655251.88</v>
      </c>
      <c r="C67" s="149">
        <v>4853742.4000000004</v>
      </c>
      <c r="D67" s="149">
        <v>5421545.9800000004</v>
      </c>
      <c r="E67" s="149">
        <v>5255004.26</v>
      </c>
      <c r="F67" s="149">
        <v>6559601.21</v>
      </c>
      <c r="G67" s="149">
        <v>5823595.5199999996</v>
      </c>
      <c r="H67" s="149">
        <v>5290454.91</v>
      </c>
      <c r="I67" s="149">
        <v>5843663.9400000004</v>
      </c>
      <c r="J67" s="149">
        <v>7600352.96</v>
      </c>
      <c r="K67" s="149">
        <v>6095234.2599999998</v>
      </c>
      <c r="L67" s="149">
        <v>5313567.57</v>
      </c>
      <c r="M67" s="149">
        <v>6479083.0800000001</v>
      </c>
      <c r="N67" s="89">
        <f>SUM(B67:M67)</f>
        <v>69191097.969999999</v>
      </c>
    </row>
    <row r="68" spans="1:14" s="90" customFormat="1" ht="14.1" customHeight="1" x14ac:dyDescent="0.25">
      <c r="A68" s="83" t="s">
        <v>237</v>
      </c>
      <c r="B68" s="149">
        <v>0</v>
      </c>
      <c r="C68" s="149">
        <v>67105.850000000006</v>
      </c>
      <c r="D68" s="149">
        <v>233635.85</v>
      </c>
      <c r="E68" s="149">
        <v>163411.07999999999</v>
      </c>
      <c r="F68" s="149">
        <v>38120.32</v>
      </c>
      <c r="G68" s="149">
        <v>104400</v>
      </c>
      <c r="H68" s="138">
        <v>-3727.2</v>
      </c>
      <c r="I68" s="149">
        <v>313993.17</v>
      </c>
      <c r="J68" s="149">
        <v>227725.53</v>
      </c>
      <c r="K68" s="149">
        <v>210275.6</v>
      </c>
      <c r="L68" s="149">
        <v>210269.97</v>
      </c>
      <c r="M68" s="149">
        <v>337638.13</v>
      </c>
      <c r="N68" s="89">
        <f>SUM(B68:M68)</f>
        <v>1902848.3000000003</v>
      </c>
    </row>
    <row r="69" spans="1:14" s="90" customFormat="1" ht="14.1" customHeight="1" x14ac:dyDescent="0.25">
      <c r="A69" s="83" t="s">
        <v>242</v>
      </c>
      <c r="B69" s="154">
        <v>0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49">
        <v>185901</v>
      </c>
      <c r="J69" s="154">
        <v>23751.75</v>
      </c>
      <c r="K69" s="154">
        <v>25536</v>
      </c>
      <c r="L69" s="154">
        <v>42392.25</v>
      </c>
      <c r="M69" s="154">
        <v>42828</v>
      </c>
      <c r="N69" s="89">
        <f>SUM(B69:M69)</f>
        <v>320409</v>
      </c>
    </row>
    <row r="70" spans="1:14" s="90" customFormat="1" ht="8.1" customHeight="1" x14ac:dyDescent="0.25">
      <c r="A70" s="113"/>
      <c r="B70" s="84"/>
      <c r="C70" s="84"/>
      <c r="D70" s="84"/>
      <c r="E70" s="84"/>
      <c r="F70" s="84"/>
      <c r="G70" s="84"/>
      <c r="H70" s="84"/>
      <c r="I70" s="84"/>
      <c r="J70" s="112"/>
      <c r="K70" s="84"/>
      <c r="L70" s="84"/>
      <c r="M70" s="84"/>
      <c r="N70" s="89"/>
    </row>
    <row r="71" spans="1:14" s="90" customFormat="1" ht="14.1" customHeight="1" x14ac:dyDescent="0.25">
      <c r="A71" s="111" t="s">
        <v>195</v>
      </c>
      <c r="B71" s="79">
        <f>B72</f>
        <v>0</v>
      </c>
      <c r="C71" s="79">
        <f t="shared" ref="C71:M71" si="13">C72</f>
        <v>0</v>
      </c>
      <c r="D71" s="79">
        <f t="shared" si="13"/>
        <v>0</v>
      </c>
      <c r="E71" s="79">
        <f t="shared" si="13"/>
        <v>0</v>
      </c>
      <c r="F71" s="79">
        <f t="shared" si="13"/>
        <v>0</v>
      </c>
      <c r="G71" s="79">
        <f t="shared" si="13"/>
        <v>0</v>
      </c>
      <c r="H71" s="79">
        <f t="shared" si="13"/>
        <v>0</v>
      </c>
      <c r="I71" s="79">
        <f t="shared" si="13"/>
        <v>0</v>
      </c>
      <c r="J71" s="79">
        <f t="shared" si="13"/>
        <v>0</v>
      </c>
      <c r="K71" s="79">
        <f t="shared" si="13"/>
        <v>2343245.19</v>
      </c>
      <c r="L71" s="79">
        <f t="shared" si="13"/>
        <v>3132987.34</v>
      </c>
      <c r="M71" s="79">
        <f t="shared" si="13"/>
        <v>3197089.32</v>
      </c>
      <c r="N71" s="91">
        <f>SUM(B71:M71)</f>
        <v>8673321.8499999996</v>
      </c>
    </row>
    <row r="72" spans="1:14" s="90" customFormat="1" ht="14.1" customHeight="1" x14ac:dyDescent="0.25">
      <c r="A72" s="83" t="s">
        <v>196</v>
      </c>
      <c r="B72" s="154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2343245.19</v>
      </c>
      <c r="L72" s="154">
        <v>3132987.34</v>
      </c>
      <c r="M72" s="84">
        <v>3197089.32</v>
      </c>
      <c r="N72" s="89">
        <f>SUM(B72:M72)</f>
        <v>8673321.8499999996</v>
      </c>
    </row>
    <row r="73" spans="1:14" s="90" customFormat="1" ht="8.1" customHeight="1" x14ac:dyDescent="0.25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6"/>
    </row>
    <row r="74" spans="1:14" s="90" customFormat="1" ht="14.1" customHeight="1" x14ac:dyDescent="0.25">
      <c r="A74" s="111" t="s">
        <v>192</v>
      </c>
      <c r="B74" s="79">
        <f>SUM(B75:B77)</f>
        <v>13676889.49</v>
      </c>
      <c r="C74" s="79">
        <f>SUM(C75:C77)</f>
        <v>13690456.66</v>
      </c>
      <c r="D74" s="79">
        <f>SUM(D75:D77)</f>
        <v>13791067.470000001</v>
      </c>
      <c r="E74" s="79">
        <f t="shared" ref="E74:M74" si="14">SUM(E75:E77)</f>
        <v>13734970.52</v>
      </c>
      <c r="F74" s="79">
        <f t="shared" si="14"/>
        <v>13831340.710000001</v>
      </c>
      <c r="G74" s="79">
        <f t="shared" si="14"/>
        <v>13885876.520000001</v>
      </c>
      <c r="H74" s="79">
        <f t="shared" si="14"/>
        <v>13968661.130000001</v>
      </c>
      <c r="I74" s="79">
        <f>SUM(I75:I77)</f>
        <v>14054875.999999998</v>
      </c>
      <c r="J74" s="79">
        <f t="shared" si="14"/>
        <v>14061974.689999999</v>
      </c>
      <c r="K74" s="79">
        <f t="shared" si="14"/>
        <v>14227815.41</v>
      </c>
      <c r="L74" s="79">
        <f t="shared" si="14"/>
        <v>14282969.399999999</v>
      </c>
      <c r="M74" s="79">
        <f t="shared" si="14"/>
        <v>14455401.17</v>
      </c>
      <c r="N74" s="91">
        <f>SUM(B74:M74)</f>
        <v>167662299.16999999</v>
      </c>
    </row>
    <row r="75" spans="1:14" s="90" customFormat="1" ht="14.1" customHeight="1" x14ac:dyDescent="0.25">
      <c r="A75" s="113" t="s">
        <v>238</v>
      </c>
      <c r="B75" s="149">
        <v>96350.12</v>
      </c>
      <c r="C75" s="149">
        <v>96947.49</v>
      </c>
      <c r="D75" s="149">
        <v>96952.320000000007</v>
      </c>
      <c r="E75" s="149">
        <v>97083.7</v>
      </c>
      <c r="F75" s="149">
        <v>97799.35</v>
      </c>
      <c r="G75" s="149">
        <v>97941.08</v>
      </c>
      <c r="H75" s="149">
        <v>98023.74</v>
      </c>
      <c r="I75" s="149">
        <v>98458.51</v>
      </c>
      <c r="J75" s="149">
        <v>99187.02</v>
      </c>
      <c r="K75" s="149">
        <v>99247.82</v>
      </c>
      <c r="L75" s="149">
        <v>99166.91</v>
      </c>
      <c r="M75" s="149">
        <v>99244.39</v>
      </c>
      <c r="N75" s="89">
        <f>SUM(B75:M75)</f>
        <v>1176402.4499999997</v>
      </c>
    </row>
    <row r="76" spans="1:14" s="90" customFormat="1" ht="14.1" customHeight="1" x14ac:dyDescent="0.25">
      <c r="A76" s="113" t="s">
        <v>239</v>
      </c>
      <c r="B76" s="149">
        <v>13839282.390000001</v>
      </c>
      <c r="C76" s="149">
        <v>13852252.189999999</v>
      </c>
      <c r="D76" s="149">
        <v>13952858.17</v>
      </c>
      <c r="E76" s="149">
        <v>13896629.84</v>
      </c>
      <c r="F76" s="149">
        <v>13992284.380000001</v>
      </c>
      <c r="G76" s="149">
        <v>14046678.460000001</v>
      </c>
      <c r="H76" s="149">
        <v>14129380.41</v>
      </c>
      <c r="I76" s="149">
        <v>14309987.869999999</v>
      </c>
      <c r="J76" s="149">
        <v>14316358.050000001</v>
      </c>
      <c r="K76" s="149">
        <v>14482137.970000001</v>
      </c>
      <c r="L76" s="149">
        <v>14537372.869999999</v>
      </c>
      <c r="M76" s="149">
        <v>14709727.16</v>
      </c>
      <c r="N76" s="89">
        <f>SUM(B76:M76)</f>
        <v>170064949.76000002</v>
      </c>
    </row>
    <row r="77" spans="1:14" s="90" customFormat="1" ht="14.1" customHeight="1" x14ac:dyDescent="0.25">
      <c r="A77" s="114" t="s">
        <v>193</v>
      </c>
      <c r="B77" s="138">
        <v>-258743.02</v>
      </c>
      <c r="C77" s="138">
        <v>-258743.02</v>
      </c>
      <c r="D77" s="138">
        <v>-258743.02</v>
      </c>
      <c r="E77" s="138">
        <v>-258743.02</v>
      </c>
      <c r="F77" s="138">
        <v>-258743.02</v>
      </c>
      <c r="G77" s="138">
        <v>-258743.02</v>
      </c>
      <c r="H77" s="138">
        <v>-258743.02</v>
      </c>
      <c r="I77" s="138">
        <v>-353570.38</v>
      </c>
      <c r="J77" s="138">
        <v>-353570.38</v>
      </c>
      <c r="K77" s="138">
        <v>-353570.38</v>
      </c>
      <c r="L77" s="138">
        <v>-353570.38</v>
      </c>
      <c r="M77" s="138">
        <v>-353570.38</v>
      </c>
      <c r="N77" s="151">
        <f>SUM(B77:M77)</f>
        <v>-3579053.0399999996</v>
      </c>
    </row>
    <row r="78" spans="1:14" s="90" customFormat="1" ht="8.1" customHeight="1" x14ac:dyDescent="0.25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6"/>
    </row>
    <row r="79" spans="1:14" s="90" customFormat="1" ht="15.75" thickBot="1" x14ac:dyDescent="0.3">
      <c r="A79" s="100" t="s">
        <v>194</v>
      </c>
      <c r="B79" s="101">
        <f t="shared" ref="B79:N79" si="15">B54+B39+B74+B71</f>
        <v>82579597.039999992</v>
      </c>
      <c r="C79" s="101">
        <f t="shared" si="15"/>
        <v>81850128.670000002</v>
      </c>
      <c r="D79" s="101">
        <f t="shared" si="15"/>
        <v>82196975.690000013</v>
      </c>
      <c r="E79" s="101">
        <f t="shared" si="15"/>
        <v>84835592.409999982</v>
      </c>
      <c r="F79" s="101">
        <f t="shared" si="15"/>
        <v>84071242.539999992</v>
      </c>
      <c r="G79" s="101">
        <f t="shared" si="15"/>
        <v>82587040.439999998</v>
      </c>
      <c r="H79" s="101">
        <f t="shared" si="15"/>
        <v>90387805.799999997</v>
      </c>
      <c r="I79" s="101">
        <f t="shared" si="15"/>
        <v>96153076.159999996</v>
      </c>
      <c r="J79" s="101">
        <f t="shared" si="15"/>
        <v>92718474.120000005</v>
      </c>
      <c r="K79" s="101">
        <f t="shared" si="15"/>
        <v>99869519.920000002</v>
      </c>
      <c r="L79" s="101">
        <f t="shared" si="15"/>
        <v>96637155.439999998</v>
      </c>
      <c r="M79" s="101">
        <f t="shared" si="15"/>
        <v>103027520.08</v>
      </c>
      <c r="N79" s="102">
        <f t="shared" si="15"/>
        <v>1076914128.3099999</v>
      </c>
    </row>
    <row r="80" spans="1:14" s="90" customFormat="1" ht="9.9499999999999993" customHeight="1" thickTop="1" x14ac:dyDescent="0.25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17"/>
    </row>
    <row r="81" spans="1:14" s="77" customFormat="1" ht="27" customHeight="1" thickBot="1" x14ac:dyDescent="0.3">
      <c r="A81" s="217" t="s">
        <v>152</v>
      </c>
      <c r="B81" s="219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1"/>
    </row>
    <row r="82" spans="1:14" s="77" customFormat="1" ht="15" customHeight="1" thickTop="1" x14ac:dyDescent="0.25">
      <c r="A82" s="218"/>
      <c r="B82" s="3" t="s">
        <v>88</v>
      </c>
      <c r="C82" s="3" t="s">
        <v>89</v>
      </c>
      <c r="D82" s="3" t="s">
        <v>90</v>
      </c>
      <c r="E82" s="3" t="s">
        <v>91</v>
      </c>
      <c r="F82" s="3" t="s">
        <v>92</v>
      </c>
      <c r="G82" s="3" t="s">
        <v>93</v>
      </c>
      <c r="H82" s="3" t="s">
        <v>94</v>
      </c>
      <c r="I82" s="3" t="s">
        <v>95</v>
      </c>
      <c r="J82" s="3" t="s">
        <v>96</v>
      </c>
      <c r="K82" s="3" t="s">
        <v>97</v>
      </c>
      <c r="L82" s="3" t="s">
        <v>98</v>
      </c>
      <c r="M82" s="3" t="s">
        <v>99</v>
      </c>
      <c r="N82" s="3" t="s">
        <v>12</v>
      </c>
    </row>
    <row r="83" spans="1:14" s="77" customFormat="1" ht="14.1" customHeight="1" x14ac:dyDescent="0.25">
      <c r="A83" s="83" t="s">
        <v>120</v>
      </c>
      <c r="B83" s="84">
        <f t="shared" ref="B83:M83" si="16">ROUND((B27*0.076),2)</f>
        <v>28214014.800000001</v>
      </c>
      <c r="C83" s="84">
        <f t="shared" si="16"/>
        <v>25069889.41</v>
      </c>
      <c r="D83" s="84">
        <f t="shared" si="16"/>
        <v>28548650.739999998</v>
      </c>
      <c r="E83" s="84">
        <f t="shared" si="16"/>
        <v>27247797.809999999</v>
      </c>
      <c r="F83" s="84">
        <f t="shared" si="16"/>
        <v>28834073.73</v>
      </c>
      <c r="G83" s="84">
        <f t="shared" si="16"/>
        <v>27416300.350000001</v>
      </c>
      <c r="H83" s="84">
        <f t="shared" si="16"/>
        <v>28309690.52</v>
      </c>
      <c r="I83" s="84">
        <f t="shared" si="16"/>
        <v>29276664.780000001</v>
      </c>
      <c r="J83" s="84">
        <f t="shared" si="16"/>
        <v>27818771.390000001</v>
      </c>
      <c r="K83" s="84">
        <f t="shared" si="16"/>
        <v>29180316.73</v>
      </c>
      <c r="L83" s="84">
        <f t="shared" si="16"/>
        <v>28763747.48</v>
      </c>
      <c r="M83" s="84">
        <f t="shared" si="16"/>
        <v>32013650.530000001</v>
      </c>
      <c r="N83" s="89">
        <f>SUM(B83:M83)</f>
        <v>340693568.2700001</v>
      </c>
    </row>
    <row r="84" spans="1:14" s="77" customFormat="1" ht="14.1" customHeight="1" x14ac:dyDescent="0.25">
      <c r="A84" s="83" t="s">
        <v>121</v>
      </c>
      <c r="B84" s="81">
        <f t="shared" ref="B84:M84" si="17">-ROUND((B79*0.076),2)</f>
        <v>-6276049.3799999999</v>
      </c>
      <c r="C84" s="81">
        <f t="shared" si="17"/>
        <v>-6220609.7800000003</v>
      </c>
      <c r="D84" s="81">
        <f>-ROUND((D79*0.076),2)</f>
        <v>-6246970.1500000004</v>
      </c>
      <c r="E84" s="81">
        <f t="shared" si="17"/>
        <v>-6447505.0199999996</v>
      </c>
      <c r="F84" s="81">
        <f t="shared" si="17"/>
        <v>-6389414.4299999997</v>
      </c>
      <c r="G84" s="81">
        <f t="shared" si="17"/>
        <v>-6276615.0700000003</v>
      </c>
      <c r="H84" s="81">
        <f t="shared" si="17"/>
        <v>-6869473.2400000002</v>
      </c>
      <c r="I84" s="81">
        <f t="shared" si="17"/>
        <v>-7307633.79</v>
      </c>
      <c r="J84" s="81">
        <f>-ROUND((J79*0.076),2)</f>
        <v>-7046604.0300000003</v>
      </c>
      <c r="K84" s="81">
        <f t="shared" si="17"/>
        <v>-7590083.5099999998</v>
      </c>
      <c r="L84" s="81">
        <f t="shared" si="17"/>
        <v>-7344423.8099999996</v>
      </c>
      <c r="M84" s="81">
        <f t="shared" si="17"/>
        <v>-7830091.5300000003</v>
      </c>
      <c r="N84" s="98">
        <f>SUM(B84:M84)</f>
        <v>-81845473.739999995</v>
      </c>
    </row>
    <row r="85" spans="1:14" s="90" customFormat="1" ht="8.1" customHeight="1" x14ac:dyDescent="0.25">
      <c r="A85" s="78"/>
      <c r="B85" s="84"/>
      <c r="C85" s="84"/>
      <c r="D85" s="84"/>
      <c r="E85" s="84"/>
      <c r="F85" s="84"/>
      <c r="G85" s="84"/>
      <c r="H85" s="79"/>
      <c r="I85" s="79"/>
      <c r="J85" s="79"/>
      <c r="K85" s="79"/>
      <c r="L85" s="79"/>
      <c r="M85" s="79"/>
      <c r="N85" s="91"/>
    </row>
    <row r="86" spans="1:14" s="90" customFormat="1" ht="14.1" customHeight="1" x14ac:dyDescent="0.25">
      <c r="A86" s="78" t="s">
        <v>122</v>
      </c>
      <c r="B86" s="79">
        <f>SUM(B83:B85)</f>
        <v>21937965.420000002</v>
      </c>
      <c r="C86" s="79">
        <f t="shared" ref="C86:M86" si="18">SUM(C83:C85)</f>
        <v>18849279.629999999</v>
      </c>
      <c r="D86" s="79">
        <f>SUM(D83:D85)</f>
        <v>22301680.589999996</v>
      </c>
      <c r="E86" s="79">
        <f>SUM(E83:E85)</f>
        <v>20800292.789999999</v>
      </c>
      <c r="F86" s="79">
        <f t="shared" si="18"/>
        <v>22444659.300000001</v>
      </c>
      <c r="G86" s="79">
        <f t="shared" si="18"/>
        <v>21139685.280000001</v>
      </c>
      <c r="H86" s="79">
        <f t="shared" si="18"/>
        <v>21440217.280000001</v>
      </c>
      <c r="I86" s="79">
        <f t="shared" si="18"/>
        <v>21969030.990000002</v>
      </c>
      <c r="J86" s="79">
        <f>SUM(J83:J85)</f>
        <v>20772167.359999999</v>
      </c>
      <c r="K86" s="79">
        <f t="shared" si="18"/>
        <v>21590233.219999999</v>
      </c>
      <c r="L86" s="79">
        <f t="shared" si="18"/>
        <v>21419323.670000002</v>
      </c>
      <c r="M86" s="79">
        <f t="shared" si="18"/>
        <v>24183559</v>
      </c>
      <c r="N86" s="99">
        <f>SUM(N83:N85)</f>
        <v>258848094.53000009</v>
      </c>
    </row>
    <row r="87" spans="1:14" s="90" customFormat="1" ht="8.1" customHeight="1" x14ac:dyDescent="0.25">
      <c r="A87" s="78"/>
      <c r="B87" s="84"/>
      <c r="C87" s="84"/>
      <c r="D87" s="84"/>
      <c r="E87" s="84"/>
      <c r="F87" s="84"/>
      <c r="G87" s="84"/>
      <c r="H87" s="79"/>
      <c r="I87" s="79"/>
      <c r="J87" s="79"/>
      <c r="K87" s="79"/>
      <c r="L87" s="79"/>
      <c r="M87" s="79"/>
      <c r="N87" s="91"/>
    </row>
    <row r="88" spans="1:14" s="77" customFormat="1" ht="14.1" customHeight="1" x14ac:dyDescent="0.25">
      <c r="A88" s="83" t="s">
        <v>123</v>
      </c>
      <c r="B88" s="84">
        <f t="shared" ref="B88:M88" si="19">ROUND((B34*0.04),2)</f>
        <v>170021.97</v>
      </c>
      <c r="C88" s="84">
        <f t="shared" si="19"/>
        <v>158406.45000000001</v>
      </c>
      <c r="D88" s="84">
        <f t="shared" si="19"/>
        <v>195777.04</v>
      </c>
      <c r="E88" s="84">
        <f t="shared" si="19"/>
        <v>186264.32000000001</v>
      </c>
      <c r="F88" s="84">
        <f t="shared" si="19"/>
        <v>189498.14</v>
      </c>
      <c r="G88" s="84">
        <f t="shared" si="19"/>
        <v>200290.35</v>
      </c>
      <c r="H88" s="84">
        <f t="shared" si="19"/>
        <v>170562.09</v>
      </c>
      <c r="I88" s="84">
        <f t="shared" si="19"/>
        <v>258805.48</v>
      </c>
      <c r="J88" s="84">
        <f t="shared" si="19"/>
        <v>41614.1</v>
      </c>
      <c r="K88" s="84">
        <f t="shared" si="19"/>
        <v>138047.51</v>
      </c>
      <c r="L88" s="84">
        <f t="shared" si="19"/>
        <v>136829.75</v>
      </c>
      <c r="M88" s="84">
        <f t="shared" si="19"/>
        <v>158782.29999999999</v>
      </c>
      <c r="N88" s="89">
        <f>SUM(B88:M88)</f>
        <v>2004899.5000000002</v>
      </c>
    </row>
    <row r="89" spans="1:14" s="90" customFormat="1" ht="14.1" customHeight="1" x14ac:dyDescent="0.25">
      <c r="A89" s="78" t="s">
        <v>124</v>
      </c>
      <c r="B89" s="79">
        <f>B88</f>
        <v>170021.97</v>
      </c>
      <c r="C89" s="79">
        <f t="shared" ref="C89:M89" si="20">C88</f>
        <v>158406.45000000001</v>
      </c>
      <c r="D89" s="79">
        <f t="shared" si="20"/>
        <v>195777.04</v>
      </c>
      <c r="E89" s="79">
        <f>E88</f>
        <v>186264.32000000001</v>
      </c>
      <c r="F89" s="79">
        <f t="shared" si="20"/>
        <v>189498.14</v>
      </c>
      <c r="G89" s="79">
        <f t="shared" si="20"/>
        <v>200290.35</v>
      </c>
      <c r="H89" s="79">
        <f t="shared" si="20"/>
        <v>170562.09</v>
      </c>
      <c r="I89" s="79">
        <f t="shared" si="20"/>
        <v>258805.48</v>
      </c>
      <c r="J89" s="79">
        <f t="shared" si="20"/>
        <v>41614.1</v>
      </c>
      <c r="K89" s="79">
        <f t="shared" si="20"/>
        <v>138047.51</v>
      </c>
      <c r="L89" s="79">
        <f t="shared" si="20"/>
        <v>136829.75</v>
      </c>
      <c r="M89" s="79">
        <f t="shared" si="20"/>
        <v>158782.29999999999</v>
      </c>
      <c r="N89" s="91">
        <f>SUM(B89:M89)</f>
        <v>2004899.5000000002</v>
      </c>
    </row>
    <row r="90" spans="1:14" s="90" customFormat="1" ht="8.1" customHeight="1" x14ac:dyDescent="0.25">
      <c r="A90" s="78"/>
      <c r="B90" s="84"/>
      <c r="C90" s="84"/>
      <c r="D90" s="84"/>
      <c r="E90" s="84"/>
      <c r="F90" s="84"/>
      <c r="G90" s="84"/>
      <c r="H90" s="79"/>
      <c r="I90" s="79"/>
      <c r="J90" s="79"/>
      <c r="K90" s="79"/>
      <c r="L90" s="79"/>
      <c r="M90" s="79"/>
      <c r="N90" s="91"/>
    </row>
    <row r="91" spans="1:14" s="90" customFormat="1" ht="14.1" customHeight="1" x14ac:dyDescent="0.25">
      <c r="A91" s="78" t="s">
        <v>125</v>
      </c>
      <c r="B91" s="118">
        <f>B86+B89</f>
        <v>22107987.390000001</v>
      </c>
      <c r="C91" s="118">
        <f t="shared" ref="C91:M91" si="21">C86+C89</f>
        <v>19007686.079999998</v>
      </c>
      <c r="D91" s="118">
        <f t="shared" si="21"/>
        <v>22497457.629999995</v>
      </c>
      <c r="E91" s="118">
        <f>E86+E89</f>
        <v>20986557.109999999</v>
      </c>
      <c r="F91" s="118">
        <f t="shared" si="21"/>
        <v>22634157.440000001</v>
      </c>
      <c r="G91" s="118">
        <f t="shared" si="21"/>
        <v>21339975.630000003</v>
      </c>
      <c r="H91" s="118">
        <f t="shared" si="21"/>
        <v>21610779.370000001</v>
      </c>
      <c r="I91" s="118">
        <f t="shared" si="21"/>
        <v>22227836.470000003</v>
      </c>
      <c r="J91" s="118">
        <f>J86+J89</f>
        <v>20813781.460000001</v>
      </c>
      <c r="K91" s="118">
        <f t="shared" si="21"/>
        <v>21728280.73</v>
      </c>
      <c r="L91" s="118">
        <f t="shared" si="21"/>
        <v>21556153.420000002</v>
      </c>
      <c r="M91" s="118">
        <f t="shared" si="21"/>
        <v>24342341.300000001</v>
      </c>
      <c r="N91" s="119">
        <f>SUM(B91:M91)</f>
        <v>260852994.03000003</v>
      </c>
    </row>
    <row r="92" spans="1:14" s="90" customFormat="1" ht="8.1" customHeight="1" x14ac:dyDescent="0.25">
      <c r="A92" s="78"/>
      <c r="B92" s="84"/>
      <c r="C92" s="84"/>
      <c r="D92" s="84"/>
      <c r="E92" s="84"/>
      <c r="F92" s="84"/>
      <c r="G92" s="93"/>
      <c r="H92" s="79"/>
      <c r="I92" s="79"/>
      <c r="J92" s="79"/>
      <c r="K92" s="93"/>
      <c r="L92" s="79"/>
      <c r="M92" s="79"/>
      <c r="N92" s="120"/>
    </row>
    <row r="93" spans="1:14" s="90" customFormat="1" ht="14.1" customHeight="1" x14ac:dyDescent="0.25">
      <c r="A93" s="78" t="s">
        <v>126</v>
      </c>
      <c r="B93" s="93">
        <v>-24418.03</v>
      </c>
      <c r="C93" s="93">
        <v>-36013.800000000003</v>
      </c>
      <c r="D93" s="93">
        <v>-48617.46</v>
      </c>
      <c r="E93" s="93">
        <v>-30837.99</v>
      </c>
      <c r="F93" s="93">
        <v>-43124.13</v>
      </c>
      <c r="G93" s="93">
        <v>-42768.04</v>
      </c>
      <c r="H93" s="93">
        <v>-43029.120000000003</v>
      </c>
      <c r="I93" s="93">
        <v>-61476.43</v>
      </c>
      <c r="J93" s="93">
        <v>-43687.07</v>
      </c>
      <c r="K93" s="93">
        <v>-46464.72</v>
      </c>
      <c r="L93" s="93">
        <v>-41297.32</v>
      </c>
      <c r="M93" s="93">
        <v>-49783.8</v>
      </c>
      <c r="N93" s="93">
        <f>SUM(B93:M93)</f>
        <v>-511517.91000000003</v>
      </c>
    </row>
    <row r="94" spans="1:14" s="90" customFormat="1" ht="14.1" customHeight="1" x14ac:dyDescent="0.25">
      <c r="A94" s="78" t="s">
        <v>127</v>
      </c>
      <c r="B94" s="79">
        <v>0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93">
        <v>-40610.589999999997</v>
      </c>
      <c r="K94" s="79">
        <v>0</v>
      </c>
      <c r="L94" s="79">
        <v>0</v>
      </c>
      <c r="M94" s="79">
        <v>0</v>
      </c>
      <c r="N94" s="93">
        <f>SUM(B94:M94)</f>
        <v>-40610.589999999997</v>
      </c>
    </row>
    <row r="95" spans="1:14" s="90" customFormat="1" ht="8.1" customHeight="1" x14ac:dyDescent="0.25">
      <c r="A95" s="78"/>
      <c r="B95" s="84"/>
      <c r="C95" s="84"/>
      <c r="D95" s="84"/>
      <c r="E95" s="84"/>
      <c r="F95" s="84"/>
      <c r="G95" s="84"/>
      <c r="H95" s="80"/>
      <c r="I95" s="80"/>
      <c r="J95" s="80"/>
      <c r="K95" s="80"/>
      <c r="L95" s="80"/>
      <c r="M95" s="80"/>
      <c r="N95" s="120"/>
    </row>
    <row r="96" spans="1:14" s="77" customFormat="1" ht="14.1" customHeight="1" x14ac:dyDescent="0.25">
      <c r="A96" s="78" t="s">
        <v>128</v>
      </c>
      <c r="B96" s="118">
        <f>B91+B93</f>
        <v>22083569.359999999</v>
      </c>
      <c r="C96" s="118">
        <f t="shared" ref="C96:M96" si="22">C91+C93</f>
        <v>18971672.279999997</v>
      </c>
      <c r="D96" s="118">
        <f t="shared" si="22"/>
        <v>22448840.169999994</v>
      </c>
      <c r="E96" s="118">
        <f>E91+E93</f>
        <v>20955719.120000001</v>
      </c>
      <c r="F96" s="118">
        <f t="shared" si="22"/>
        <v>22591033.310000002</v>
      </c>
      <c r="G96" s="118">
        <f t="shared" si="22"/>
        <v>21297207.590000004</v>
      </c>
      <c r="H96" s="118">
        <f t="shared" si="22"/>
        <v>21567750.25</v>
      </c>
      <c r="I96" s="118">
        <f t="shared" si="22"/>
        <v>22166360.040000003</v>
      </c>
      <c r="J96" s="118">
        <f>J91+J93+J94</f>
        <v>20729483.800000001</v>
      </c>
      <c r="K96" s="118">
        <f t="shared" si="22"/>
        <v>21681816.010000002</v>
      </c>
      <c r="L96" s="118">
        <f t="shared" si="22"/>
        <v>21514856.100000001</v>
      </c>
      <c r="M96" s="118">
        <f t="shared" si="22"/>
        <v>24292557.5</v>
      </c>
      <c r="N96" s="119">
        <f>SUM(B96:M96)</f>
        <v>260300865.52999997</v>
      </c>
    </row>
    <row r="97" spans="1:14" s="77" customFormat="1" ht="8.1" customHeight="1" x14ac:dyDescent="0.25">
      <c r="A97" s="78"/>
      <c r="B97" s="84"/>
      <c r="C97" s="84"/>
      <c r="D97" s="84"/>
      <c r="E97" s="84"/>
      <c r="F97" s="84"/>
      <c r="G97" s="84"/>
      <c r="H97" s="79"/>
      <c r="I97" s="79"/>
      <c r="J97" s="79"/>
      <c r="K97" s="79"/>
      <c r="L97" s="79"/>
      <c r="M97" s="79"/>
      <c r="N97" s="91"/>
    </row>
    <row r="98" spans="1:14" s="77" customFormat="1" ht="14.1" customHeight="1" x14ac:dyDescent="0.25">
      <c r="A98" s="78" t="s">
        <v>129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91">
        <f>SUM(B98:M98)</f>
        <v>0</v>
      </c>
    </row>
    <row r="99" spans="1:14" s="77" customFormat="1" ht="8.1" customHeight="1" thickBot="1" x14ac:dyDescent="0.3">
      <c r="A99" s="78"/>
      <c r="B99" s="121"/>
      <c r="C99" s="121"/>
      <c r="D99" s="121"/>
      <c r="E99" s="121"/>
      <c r="F99" s="121"/>
      <c r="G99" s="121"/>
      <c r="H99" s="79"/>
      <c r="I99" s="79"/>
      <c r="J99" s="79"/>
      <c r="K99" s="79"/>
      <c r="L99" s="79"/>
      <c r="M99" s="79"/>
      <c r="N99" s="91"/>
    </row>
    <row r="100" spans="1:14" s="77" customFormat="1" ht="16.5" thickTop="1" thickBot="1" x14ac:dyDescent="0.3">
      <c r="A100" s="100" t="s">
        <v>130</v>
      </c>
      <c r="B100" s="101">
        <f>+B96+B98</f>
        <v>22083569.359999999</v>
      </c>
      <c r="C100" s="101">
        <f t="shared" ref="C100:M100" si="23">+C96+C98</f>
        <v>18971672.279999997</v>
      </c>
      <c r="D100" s="101">
        <f>+D96+D98</f>
        <v>22448840.169999994</v>
      </c>
      <c r="E100" s="101">
        <f>+E96+E98</f>
        <v>20955719.120000001</v>
      </c>
      <c r="F100" s="101">
        <f t="shared" si="23"/>
        <v>22591033.310000002</v>
      </c>
      <c r="G100" s="101">
        <f t="shared" si="23"/>
        <v>21297207.590000004</v>
      </c>
      <c r="H100" s="101">
        <f t="shared" si="23"/>
        <v>21567750.25</v>
      </c>
      <c r="I100" s="101">
        <f t="shared" si="23"/>
        <v>22166360.040000003</v>
      </c>
      <c r="J100" s="101">
        <f>+J96+J98</f>
        <v>20729483.800000001</v>
      </c>
      <c r="K100" s="101">
        <f t="shared" si="23"/>
        <v>21681816.010000002</v>
      </c>
      <c r="L100" s="101">
        <f t="shared" si="23"/>
        <v>21514856.100000001</v>
      </c>
      <c r="M100" s="101">
        <f t="shared" si="23"/>
        <v>24292557.5</v>
      </c>
      <c r="N100" s="102">
        <f>N96+N98</f>
        <v>260300865.52999997</v>
      </c>
    </row>
    <row r="101" spans="1:14" s="77" customFormat="1" ht="9.9499999999999993" customHeight="1" thickTop="1" x14ac:dyDescent="0.25">
      <c r="A101" s="90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22"/>
      <c r="M101" s="122"/>
      <c r="N101" s="117"/>
    </row>
    <row r="102" spans="1:14" s="77" customFormat="1" ht="27" customHeight="1" thickBot="1" x14ac:dyDescent="0.3">
      <c r="A102" s="217" t="s">
        <v>153</v>
      </c>
      <c r="B102" s="219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1"/>
    </row>
    <row r="103" spans="1:14" s="77" customFormat="1" ht="20.25" customHeight="1" thickTop="1" x14ac:dyDescent="0.25">
      <c r="A103" s="218"/>
      <c r="B103" s="3" t="s">
        <v>88</v>
      </c>
      <c r="C103" s="3" t="s">
        <v>89</v>
      </c>
      <c r="D103" s="3" t="s">
        <v>90</v>
      </c>
      <c r="E103" s="3" t="s">
        <v>91</v>
      </c>
      <c r="F103" s="3" t="s">
        <v>92</v>
      </c>
      <c r="G103" s="3" t="s">
        <v>93</v>
      </c>
      <c r="H103" s="3" t="s">
        <v>94</v>
      </c>
      <c r="I103" s="3" t="s">
        <v>95</v>
      </c>
      <c r="J103" s="3" t="s">
        <v>96</v>
      </c>
      <c r="K103" s="3" t="s">
        <v>97</v>
      </c>
      <c r="L103" s="3" t="s">
        <v>98</v>
      </c>
      <c r="M103" s="3" t="s">
        <v>99</v>
      </c>
      <c r="N103" s="3" t="s">
        <v>12</v>
      </c>
    </row>
    <row r="104" spans="1:14" s="77" customFormat="1" ht="14.1" customHeight="1" x14ac:dyDescent="0.25">
      <c r="A104" s="113" t="s">
        <v>132</v>
      </c>
      <c r="B104" s="84">
        <f t="shared" ref="B104:M104" si="24">ROUND((B27*0.0165),2)</f>
        <v>6125411.1100000003</v>
      </c>
      <c r="C104" s="84">
        <f t="shared" si="24"/>
        <v>5442804.9400000004</v>
      </c>
      <c r="D104" s="84">
        <f t="shared" si="24"/>
        <v>6198062.3300000001</v>
      </c>
      <c r="E104" s="84">
        <f t="shared" si="24"/>
        <v>5915640.3099999996</v>
      </c>
      <c r="F104" s="84">
        <f t="shared" si="24"/>
        <v>6260029.1600000001</v>
      </c>
      <c r="G104" s="84">
        <f t="shared" si="24"/>
        <v>5952223.0999999996</v>
      </c>
      <c r="H104" s="84">
        <f t="shared" si="24"/>
        <v>6146182.8099999996</v>
      </c>
      <c r="I104" s="84">
        <f t="shared" si="24"/>
        <v>6356118.0099999998</v>
      </c>
      <c r="J104" s="84">
        <f t="shared" si="24"/>
        <v>6039601.6799999997</v>
      </c>
      <c r="K104" s="84">
        <f t="shared" si="24"/>
        <v>6335200.3399999999</v>
      </c>
      <c r="L104" s="84">
        <f t="shared" si="24"/>
        <v>6244760.9699999997</v>
      </c>
      <c r="M104" s="84">
        <f t="shared" si="24"/>
        <v>6950332.0199999996</v>
      </c>
      <c r="N104" s="89">
        <f>SUM(B104:M104)</f>
        <v>73966366.780000001</v>
      </c>
    </row>
    <row r="105" spans="1:14" s="77" customFormat="1" ht="14.1" customHeight="1" x14ac:dyDescent="0.25">
      <c r="A105" s="83" t="s">
        <v>133</v>
      </c>
      <c r="B105" s="81">
        <f t="shared" ref="B105:M105" si="25">-ROUND(B79*0.0165,2)</f>
        <v>-1362563.35</v>
      </c>
      <c r="C105" s="81">
        <f t="shared" si="25"/>
        <v>-1350527.12</v>
      </c>
      <c r="D105" s="81">
        <f t="shared" si="25"/>
        <v>-1356250.1</v>
      </c>
      <c r="E105" s="81">
        <f t="shared" si="25"/>
        <v>-1399787.27</v>
      </c>
      <c r="F105" s="81">
        <f t="shared" si="25"/>
        <v>-1387175.5</v>
      </c>
      <c r="G105" s="81">
        <f t="shared" si="25"/>
        <v>-1362686.17</v>
      </c>
      <c r="H105" s="81">
        <f t="shared" si="25"/>
        <v>-1491398.8</v>
      </c>
      <c r="I105" s="81">
        <f t="shared" si="25"/>
        <v>-1586525.76</v>
      </c>
      <c r="J105" s="81">
        <f t="shared" si="25"/>
        <v>-1529854.82</v>
      </c>
      <c r="K105" s="81">
        <f t="shared" si="25"/>
        <v>-1647847.08</v>
      </c>
      <c r="L105" s="81">
        <f t="shared" si="25"/>
        <v>-1594513.06</v>
      </c>
      <c r="M105" s="81">
        <f t="shared" si="25"/>
        <v>-1699954.08</v>
      </c>
      <c r="N105" s="98">
        <f>SUM(B105:M105)</f>
        <v>-17769083.109999999</v>
      </c>
    </row>
    <row r="106" spans="1:14" s="77" customFormat="1" ht="8.1" customHeight="1" x14ac:dyDescent="0.25">
      <c r="A106" s="111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91"/>
    </row>
    <row r="107" spans="1:14" s="90" customFormat="1" ht="14.1" customHeight="1" x14ac:dyDescent="0.25">
      <c r="A107" s="111" t="s">
        <v>134</v>
      </c>
      <c r="B107" s="79">
        <f>SUM(B104:B106)</f>
        <v>4762847.76</v>
      </c>
      <c r="C107" s="79">
        <f t="shared" ref="C107:N107" si="26">SUM(C104:C106)</f>
        <v>4092277.8200000003</v>
      </c>
      <c r="D107" s="79">
        <f t="shared" si="26"/>
        <v>4841812.2300000004</v>
      </c>
      <c r="E107" s="79">
        <f>SUM(E104:E106)</f>
        <v>4515853.0399999991</v>
      </c>
      <c r="F107" s="79">
        <f t="shared" si="26"/>
        <v>4872853.66</v>
      </c>
      <c r="G107" s="79">
        <f t="shared" si="26"/>
        <v>4589536.93</v>
      </c>
      <c r="H107" s="79">
        <f t="shared" si="26"/>
        <v>4654784.01</v>
      </c>
      <c r="I107" s="79">
        <f t="shared" si="26"/>
        <v>4769592.25</v>
      </c>
      <c r="J107" s="79">
        <f>SUM(J104:J106)</f>
        <v>4509746.8599999994</v>
      </c>
      <c r="K107" s="79">
        <f t="shared" si="26"/>
        <v>4687353.26</v>
      </c>
      <c r="L107" s="79">
        <f t="shared" si="26"/>
        <v>4650247.91</v>
      </c>
      <c r="M107" s="79">
        <f t="shared" si="26"/>
        <v>5250377.9399999995</v>
      </c>
      <c r="N107" s="99">
        <f t="shared" si="26"/>
        <v>56197283.670000002</v>
      </c>
    </row>
    <row r="108" spans="1:14" s="77" customFormat="1" ht="8.1" customHeight="1" x14ac:dyDescent="0.25">
      <c r="A108" s="111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91"/>
    </row>
    <row r="109" spans="1:14" s="77" customFormat="1" ht="14.1" customHeight="1" x14ac:dyDescent="0.25">
      <c r="A109" s="113" t="s">
        <v>135</v>
      </c>
      <c r="B109" s="84">
        <f t="shared" ref="B109:M109" si="27">ROUND((B34*0.0065),2)</f>
        <v>27628.57</v>
      </c>
      <c r="C109" s="84">
        <f t="shared" si="27"/>
        <v>25741.05</v>
      </c>
      <c r="D109" s="84">
        <f t="shared" si="27"/>
        <v>31813.77</v>
      </c>
      <c r="E109" s="84">
        <f t="shared" si="27"/>
        <v>30267.95</v>
      </c>
      <c r="F109" s="84">
        <f t="shared" si="27"/>
        <v>30793.45</v>
      </c>
      <c r="G109" s="84">
        <f t="shared" si="27"/>
        <v>32547.18</v>
      </c>
      <c r="H109" s="84">
        <f t="shared" si="27"/>
        <v>27716.34</v>
      </c>
      <c r="I109" s="84">
        <f t="shared" si="27"/>
        <v>42055.89</v>
      </c>
      <c r="J109" s="84">
        <f t="shared" si="27"/>
        <v>6762.29</v>
      </c>
      <c r="K109" s="84">
        <f t="shared" si="27"/>
        <v>22432.720000000001</v>
      </c>
      <c r="L109" s="84">
        <f t="shared" si="27"/>
        <v>22234.83</v>
      </c>
      <c r="M109" s="84">
        <f t="shared" si="27"/>
        <v>25802.12</v>
      </c>
      <c r="N109" s="89">
        <f>SUM(B109:M109)</f>
        <v>325796.16000000003</v>
      </c>
    </row>
    <row r="110" spans="1:14" s="77" customFormat="1" ht="14.1" customHeight="1" x14ac:dyDescent="0.25">
      <c r="A110" s="111" t="s">
        <v>136</v>
      </c>
      <c r="B110" s="79">
        <f>B109</f>
        <v>27628.57</v>
      </c>
      <c r="C110" s="79">
        <f t="shared" ref="C110:N110" si="28">C109</f>
        <v>25741.05</v>
      </c>
      <c r="D110" s="79">
        <f t="shared" si="28"/>
        <v>31813.77</v>
      </c>
      <c r="E110" s="79">
        <f>E109</f>
        <v>30267.95</v>
      </c>
      <c r="F110" s="79">
        <f t="shared" si="28"/>
        <v>30793.45</v>
      </c>
      <c r="G110" s="79">
        <f t="shared" si="28"/>
        <v>32547.18</v>
      </c>
      <c r="H110" s="79">
        <f t="shared" si="28"/>
        <v>27716.34</v>
      </c>
      <c r="I110" s="79">
        <f t="shared" si="28"/>
        <v>42055.89</v>
      </c>
      <c r="J110" s="79">
        <f t="shared" si="28"/>
        <v>6762.29</v>
      </c>
      <c r="K110" s="79">
        <f t="shared" si="28"/>
        <v>22432.720000000001</v>
      </c>
      <c r="L110" s="79">
        <f t="shared" si="28"/>
        <v>22234.83</v>
      </c>
      <c r="M110" s="79">
        <f t="shared" si="28"/>
        <v>25802.12</v>
      </c>
      <c r="N110" s="99">
        <f t="shared" si="28"/>
        <v>325796.16000000003</v>
      </c>
    </row>
    <row r="111" spans="1:14" s="77" customFormat="1" ht="8.1" customHeight="1" x14ac:dyDescent="0.25">
      <c r="A111" s="111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91"/>
    </row>
    <row r="112" spans="1:14" s="77" customFormat="1" ht="14.1" customHeight="1" x14ac:dyDescent="0.25">
      <c r="A112" s="78" t="s">
        <v>137</v>
      </c>
      <c r="B112" s="118">
        <f>B107+B110</f>
        <v>4790476.33</v>
      </c>
      <c r="C112" s="118">
        <f t="shared" ref="C112:M112" si="29">C107+C110</f>
        <v>4118018.87</v>
      </c>
      <c r="D112" s="118">
        <f t="shared" si="29"/>
        <v>4873626</v>
      </c>
      <c r="E112" s="118">
        <f>E107+E110</f>
        <v>4546120.9899999993</v>
      </c>
      <c r="F112" s="118">
        <f t="shared" si="29"/>
        <v>4903647.1100000003</v>
      </c>
      <c r="G112" s="118">
        <f t="shared" si="29"/>
        <v>4622084.1099999994</v>
      </c>
      <c r="H112" s="118">
        <f t="shared" si="29"/>
        <v>4682500.3499999996</v>
      </c>
      <c r="I112" s="118">
        <f t="shared" si="29"/>
        <v>4811648.1399999997</v>
      </c>
      <c r="J112" s="118">
        <f>J107+J110</f>
        <v>4516509.1499999994</v>
      </c>
      <c r="K112" s="118">
        <f t="shared" si="29"/>
        <v>4709785.9799999995</v>
      </c>
      <c r="L112" s="118">
        <f t="shared" si="29"/>
        <v>4672482.74</v>
      </c>
      <c r="M112" s="118">
        <f t="shared" si="29"/>
        <v>5276180.0599999996</v>
      </c>
      <c r="N112" s="119">
        <f>N107+N110</f>
        <v>56523079.829999998</v>
      </c>
    </row>
    <row r="113" spans="1:14" s="77" customFormat="1" ht="8.1" customHeight="1" x14ac:dyDescent="0.25">
      <c r="A113" s="78"/>
      <c r="B113" s="79"/>
      <c r="C113" s="79"/>
      <c r="D113" s="79"/>
      <c r="E113" s="79"/>
      <c r="F113" s="79"/>
      <c r="G113" s="79"/>
      <c r="H113" s="80"/>
      <c r="I113" s="80"/>
      <c r="J113" s="80"/>
      <c r="K113" s="80"/>
      <c r="L113" s="80"/>
      <c r="M113" s="80"/>
      <c r="N113" s="91"/>
    </row>
    <row r="114" spans="1:14" s="77" customFormat="1" ht="14.1" customHeight="1" x14ac:dyDescent="0.25">
      <c r="A114" s="78" t="s">
        <v>126</v>
      </c>
      <c r="B114" s="93">
        <v>-5290.33</v>
      </c>
      <c r="C114" s="93">
        <v>-7802.75</v>
      </c>
      <c r="D114" s="93">
        <v>-10533.39</v>
      </c>
      <c r="E114" s="93">
        <v>-6681.35</v>
      </c>
      <c r="F114" s="93">
        <v>-9343.2900000000009</v>
      </c>
      <c r="G114" s="93">
        <v>-9266.42</v>
      </c>
      <c r="H114" s="93">
        <v>-9322.92</v>
      </c>
      <c r="I114" s="93">
        <v>-13319.89</v>
      </c>
      <c r="J114" s="93">
        <v>-9465.59</v>
      </c>
      <c r="K114" s="93">
        <v>-10067.4</v>
      </c>
      <c r="L114" s="93">
        <v>-8947.93</v>
      </c>
      <c r="M114" s="93">
        <v>-10786.52</v>
      </c>
      <c r="N114" s="93">
        <f>SUM(B114:M114)</f>
        <v>-110827.77999999998</v>
      </c>
    </row>
    <row r="115" spans="1:14" s="77" customFormat="1" ht="14.1" customHeight="1" x14ac:dyDescent="0.25">
      <c r="A115" s="111" t="s">
        <v>127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93">
        <v>-8798.9599999999991</v>
      </c>
      <c r="K115" s="79">
        <v>0</v>
      </c>
      <c r="L115" s="79">
        <v>0</v>
      </c>
      <c r="M115" s="79">
        <v>0</v>
      </c>
      <c r="N115" s="93">
        <f>SUM(B115:M115)</f>
        <v>-8798.9599999999991</v>
      </c>
    </row>
    <row r="116" spans="1:14" s="77" customFormat="1" ht="8.1" customHeight="1" x14ac:dyDescent="0.25">
      <c r="A116" s="111"/>
      <c r="B116" s="79"/>
      <c r="C116" s="79"/>
      <c r="D116" s="79"/>
      <c r="E116" s="79"/>
      <c r="F116" s="79"/>
      <c r="G116" s="79"/>
      <c r="H116" s="80"/>
      <c r="I116" s="80"/>
      <c r="J116" s="80"/>
      <c r="K116" s="80"/>
      <c r="L116" s="84"/>
      <c r="M116" s="84"/>
      <c r="N116" s="120"/>
    </row>
    <row r="117" spans="1:14" s="77" customFormat="1" ht="14.1" customHeight="1" x14ac:dyDescent="0.25">
      <c r="A117" s="111" t="s">
        <v>138</v>
      </c>
      <c r="B117" s="118">
        <f>B112+B114</f>
        <v>4785186</v>
      </c>
      <c r="C117" s="118">
        <f t="shared" ref="C117:M117" si="30">C112+C114</f>
        <v>4110216.12</v>
      </c>
      <c r="D117" s="118">
        <f t="shared" si="30"/>
        <v>4863092.6100000003</v>
      </c>
      <c r="E117" s="118">
        <f>E112+E114</f>
        <v>4539439.6399999997</v>
      </c>
      <c r="F117" s="118">
        <f t="shared" si="30"/>
        <v>4894303.82</v>
      </c>
      <c r="G117" s="118">
        <f t="shared" si="30"/>
        <v>4612817.6899999995</v>
      </c>
      <c r="H117" s="118">
        <f t="shared" si="30"/>
        <v>4673177.43</v>
      </c>
      <c r="I117" s="118">
        <f t="shared" si="30"/>
        <v>4798328.25</v>
      </c>
      <c r="J117" s="118">
        <f>J112+J114+J115</f>
        <v>4498244.5999999996</v>
      </c>
      <c r="K117" s="118">
        <f t="shared" si="30"/>
        <v>4699718.5799999991</v>
      </c>
      <c r="L117" s="118">
        <f t="shared" si="30"/>
        <v>4663534.8100000005</v>
      </c>
      <c r="M117" s="118">
        <f t="shared" si="30"/>
        <v>5265393.54</v>
      </c>
      <c r="N117" s="119">
        <f>SUM(B117:M117)</f>
        <v>56403453.090000004</v>
      </c>
    </row>
    <row r="118" spans="1:14" s="77" customFormat="1" ht="8.1" customHeight="1" x14ac:dyDescent="0.25">
      <c r="A118" s="111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91"/>
    </row>
    <row r="119" spans="1:14" s="77" customFormat="1" ht="14.1" customHeight="1" x14ac:dyDescent="0.25">
      <c r="A119" s="78" t="s">
        <v>129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91">
        <f>SUM(B119:M119)</f>
        <v>0</v>
      </c>
    </row>
    <row r="120" spans="1:14" s="77" customFormat="1" ht="8.1" customHeight="1" x14ac:dyDescent="0.25">
      <c r="A120" s="78"/>
      <c r="B120" s="79"/>
      <c r="C120" s="79"/>
      <c r="D120" s="79"/>
      <c r="E120" s="79"/>
      <c r="F120" s="79"/>
      <c r="G120" s="79"/>
      <c r="H120" s="124"/>
      <c r="I120" s="124"/>
      <c r="J120" s="124"/>
      <c r="K120" s="124"/>
      <c r="L120" s="124"/>
      <c r="M120" s="124"/>
      <c r="N120" s="125"/>
    </row>
    <row r="121" spans="1:14" s="77" customFormat="1" x14ac:dyDescent="0.25">
      <c r="A121" s="185" t="s">
        <v>139</v>
      </c>
      <c r="B121" s="186">
        <f>B117+B119</f>
        <v>4785186</v>
      </c>
      <c r="C121" s="186">
        <f t="shared" ref="C121:M121" si="31">C117+C119</f>
        <v>4110216.12</v>
      </c>
      <c r="D121" s="186">
        <f t="shared" si="31"/>
        <v>4863092.6100000003</v>
      </c>
      <c r="E121" s="186">
        <f>E117+E119</f>
        <v>4539439.6399999997</v>
      </c>
      <c r="F121" s="186">
        <f t="shared" si="31"/>
        <v>4894303.82</v>
      </c>
      <c r="G121" s="186">
        <f t="shared" si="31"/>
        <v>4612817.6899999995</v>
      </c>
      <c r="H121" s="186">
        <f t="shared" si="31"/>
        <v>4673177.43</v>
      </c>
      <c r="I121" s="186">
        <f t="shared" si="31"/>
        <v>4798328.25</v>
      </c>
      <c r="J121" s="186">
        <f>J117+J119</f>
        <v>4498244.5999999996</v>
      </c>
      <c r="K121" s="186">
        <f t="shared" si="31"/>
        <v>4699718.5799999991</v>
      </c>
      <c r="L121" s="186">
        <f t="shared" si="31"/>
        <v>4663534.8100000005</v>
      </c>
      <c r="M121" s="186">
        <f t="shared" si="31"/>
        <v>5265393.54</v>
      </c>
      <c r="N121" s="187">
        <f>+N117-N119</f>
        <v>56403453.090000004</v>
      </c>
    </row>
    <row r="122" spans="1:14" s="77" customFormat="1" ht="14.1" customHeight="1" x14ac:dyDescent="0.25">
      <c r="A122" s="131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80"/>
      <c r="M122" s="80"/>
      <c r="N122" s="79"/>
    </row>
    <row r="123" spans="1:14" s="77" customFormat="1" ht="14.1" customHeight="1" x14ac:dyDescent="0.25">
      <c r="A123" s="126" t="s">
        <v>140</v>
      </c>
      <c r="B123" s="127">
        <f>IF((B27)=0,"",SUM(B86-B93-B94)/(B27))</f>
        <v>5.9160000947450747E-2</v>
      </c>
      <c r="C123" s="127">
        <f t="shared" ref="C123:N123" si="32">IF((C27)=0,"",SUM(C86-C93-C94)/(C27))</f>
        <v>5.7251241801710324E-2</v>
      </c>
      <c r="D123" s="127">
        <f t="shared" si="32"/>
        <v>5.9499227020549668E-2</v>
      </c>
      <c r="E123" s="127">
        <f t="shared" si="32"/>
        <v>5.8102528160453359E-2</v>
      </c>
      <c r="F123" s="127">
        <f t="shared" si="32"/>
        <v>5.9272635451733321E-2</v>
      </c>
      <c r="G123" s="127">
        <f t="shared" si="32"/>
        <v>5.8719317777624076E-2</v>
      </c>
      <c r="H123" s="127">
        <f t="shared" si="32"/>
        <v>5.7673775176858788E-2</v>
      </c>
      <c r="I123" s="127">
        <f t="shared" si="32"/>
        <v>5.7189525399722392E-2</v>
      </c>
      <c r="J123" s="127">
        <f t="shared" si="32"/>
        <v>5.6979200097984024E-2</v>
      </c>
      <c r="K123" s="127">
        <f t="shared" si="32"/>
        <v>5.6352679738677088E-2</v>
      </c>
      <c r="L123" s="127">
        <f t="shared" si="32"/>
        <v>5.6703570919726214E-2</v>
      </c>
      <c r="M123" s="127">
        <f t="shared" si="32"/>
        <v>5.7529648214221463E-2</v>
      </c>
      <c r="N123" s="127">
        <f t="shared" si="32"/>
        <v>5.7865538967620166E-2</v>
      </c>
    </row>
    <row r="124" spans="1:14" s="77" customFormat="1" ht="6.75" customHeight="1" x14ac:dyDescent="0.25">
      <c r="A124" s="128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9"/>
    </row>
    <row r="125" spans="1:14" s="77" customFormat="1" ht="14.1" customHeight="1" x14ac:dyDescent="0.25">
      <c r="A125" s="126" t="s">
        <v>141</v>
      </c>
      <c r="B125" s="127">
        <f>IF((B27)=0,"",SUM(B107-B114-B115)/(B27))</f>
        <v>1.2843918082214157E-2</v>
      </c>
      <c r="C125" s="127">
        <f t="shared" ref="C125:N125" si="33">IF((C27)=0,"",SUM(C107-C114-C115)/(C27))</f>
        <v>1.242949732232804E-2</v>
      </c>
      <c r="D125" s="127">
        <f t="shared" si="33"/>
        <v>1.2917537519216657E-2</v>
      </c>
      <c r="E125" s="127">
        <f t="shared" si="33"/>
        <v>1.261432634295015E-2</v>
      </c>
      <c r="F125" s="127">
        <f t="shared" si="33"/>
        <v>1.28683505389359E-2</v>
      </c>
      <c r="G125" s="127">
        <f t="shared" si="33"/>
        <v>1.2748220955619324E-2</v>
      </c>
      <c r="H125" s="127">
        <f t="shared" si="33"/>
        <v>1.2521229309256025E-2</v>
      </c>
      <c r="I125" s="127">
        <f t="shared" si="33"/>
        <v>1.2416076947317565E-2</v>
      </c>
      <c r="J125" s="127">
        <f t="shared" si="33"/>
        <v>1.2370383376518364E-2</v>
      </c>
      <c r="K125" s="127">
        <f t="shared" si="33"/>
        <v>1.2234410388539407E-2</v>
      </c>
      <c r="L125" s="127">
        <f t="shared" si="33"/>
        <v>1.2310596318039411E-2</v>
      </c>
      <c r="M125" s="127">
        <f t="shared" si="33"/>
        <v>1.2489937648262226E-2</v>
      </c>
      <c r="N125" s="127">
        <f t="shared" si="33"/>
        <v>1.2562858797114227E-2</v>
      </c>
    </row>
    <row r="126" spans="1:14" s="77" customFormat="1" ht="14.1" customHeight="1" x14ac:dyDescent="0.25">
      <c r="A126" s="128"/>
      <c r="B126" s="128"/>
      <c r="C126" s="128"/>
      <c r="D126" s="128"/>
      <c r="E126" s="128"/>
      <c r="F126" s="128"/>
      <c r="G126" s="128"/>
      <c r="H126" s="127"/>
      <c r="I126" s="128"/>
      <c r="J126" s="128"/>
      <c r="K126" s="128"/>
      <c r="L126" s="81"/>
      <c r="M126" s="81"/>
      <c r="N126" s="130"/>
    </row>
    <row r="127" spans="1:14" s="90" customFormat="1" ht="14.1" customHeight="1" x14ac:dyDescent="0.25">
      <c r="A127" s="131" t="s">
        <v>142</v>
      </c>
      <c r="B127" s="132">
        <f>SUM(B123:B125)</f>
        <v>7.2003919029664909E-2</v>
      </c>
      <c r="C127" s="132">
        <f t="shared" ref="C127:N127" si="34">SUM(C123:C125)</f>
        <v>6.9680739124038368E-2</v>
      </c>
      <c r="D127" s="132">
        <f t="shared" si="34"/>
        <v>7.2416764539766323E-2</v>
      </c>
      <c r="E127" s="132">
        <f t="shared" si="34"/>
        <v>7.0716854503403509E-2</v>
      </c>
      <c r="F127" s="132">
        <f t="shared" si="34"/>
        <v>7.2140985990669218E-2</v>
      </c>
      <c r="G127" s="132">
        <f t="shared" si="34"/>
        <v>7.1467538733243408E-2</v>
      </c>
      <c r="H127" s="132">
        <f t="shared" si="34"/>
        <v>7.019500448611482E-2</v>
      </c>
      <c r="I127" s="132">
        <f t="shared" si="34"/>
        <v>6.9605602347039955E-2</v>
      </c>
      <c r="J127" s="132">
        <f t="shared" si="34"/>
        <v>6.9349583474502388E-2</v>
      </c>
      <c r="K127" s="132">
        <f t="shared" si="34"/>
        <v>6.8587090127216491E-2</v>
      </c>
      <c r="L127" s="132">
        <f t="shared" si="34"/>
        <v>6.9014167237765628E-2</v>
      </c>
      <c r="M127" s="132">
        <f t="shared" si="34"/>
        <v>7.0019585862483691E-2</v>
      </c>
      <c r="N127" s="132">
        <f t="shared" si="34"/>
        <v>7.0428397764734391E-2</v>
      </c>
    </row>
    <row r="128" spans="1:14" s="77" customFormat="1" x14ac:dyDescent="0.25">
      <c r="A128" s="128"/>
      <c r="B128" s="128"/>
      <c r="C128" s="128"/>
      <c r="D128" s="128"/>
      <c r="E128" s="128"/>
      <c r="F128" s="128"/>
      <c r="G128" s="84"/>
      <c r="H128" s="84"/>
      <c r="I128" s="128"/>
      <c r="J128" s="84"/>
      <c r="K128" s="128"/>
      <c r="L128" s="81"/>
      <c r="M128" s="81"/>
      <c r="N128" s="130"/>
    </row>
    <row r="129" spans="1:14" s="77" customFormat="1" x14ac:dyDescent="0.25">
      <c r="A129" s="128" t="s">
        <v>143</v>
      </c>
      <c r="B129" s="133">
        <f>IF((B36)=0,"",SUM(B91)/(B36))</f>
        <v>5.8878078038983594E-2</v>
      </c>
      <c r="C129" s="133">
        <f t="shared" ref="C129:N129" si="35">IF((C36)=0,"",SUM(C91)/(C36))</f>
        <v>5.6938710273731943E-2</v>
      </c>
      <c r="D129" s="133">
        <f t="shared" si="35"/>
        <v>5.9120667499134548E-2</v>
      </c>
      <c r="E129" s="133">
        <f t="shared" si="35"/>
        <v>5.7785511013476114E-2</v>
      </c>
      <c r="F129" s="133">
        <f t="shared" si="35"/>
        <v>5.8922685595497119E-2</v>
      </c>
      <c r="G129" s="133">
        <f t="shared" si="35"/>
        <v>5.8346108662455716E-2</v>
      </c>
      <c r="H129" s="133">
        <f t="shared" si="35"/>
        <v>5.7359540569979051E-2</v>
      </c>
      <c r="I129" s="133">
        <f t="shared" si="35"/>
        <v>5.6748627562934445E-2</v>
      </c>
      <c r="J129" s="133">
        <f t="shared" si="35"/>
        <v>5.6701432584682382E-2</v>
      </c>
      <c r="K129" s="133">
        <f t="shared" si="35"/>
        <v>5.608706239793354E-2</v>
      </c>
      <c r="L129" s="133">
        <f t="shared" si="35"/>
        <v>5.64458116993896E-2</v>
      </c>
      <c r="M129" s="133">
        <f t="shared" si="35"/>
        <v>5.7248913880788628E-2</v>
      </c>
      <c r="N129" s="133">
        <f t="shared" si="35"/>
        <v>5.7546188587589017E-2</v>
      </c>
    </row>
    <row r="130" spans="1:14" s="77" customFormat="1" ht="6.75" customHeight="1" x14ac:dyDescent="0.25">
      <c r="A130" s="128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33"/>
      <c r="M130" s="133"/>
      <c r="N130" s="129"/>
    </row>
    <row r="131" spans="1:14" s="77" customFormat="1" x14ac:dyDescent="0.25">
      <c r="A131" s="128" t="s">
        <v>144</v>
      </c>
      <c r="B131" s="133">
        <f>IF((B36)=0,"",SUM(B112)/(B36))</f>
        <v>1.2758015201746672E-2</v>
      </c>
      <c r="C131" s="133">
        <f t="shared" ref="C131:N131" si="36">IF((C36)=0,"",SUM(C112)/(C36))</f>
        <v>1.2335782606774355E-2</v>
      </c>
      <c r="D131" s="133">
        <f t="shared" si="36"/>
        <v>1.2807314808626097E-2</v>
      </c>
      <c r="E131" s="133">
        <f t="shared" si="36"/>
        <v>1.2517533159884742E-2</v>
      </c>
      <c r="F131" s="133">
        <f t="shared" si="36"/>
        <v>1.2765487635213608E-2</v>
      </c>
      <c r="G131" s="133">
        <f t="shared" si="36"/>
        <v>1.2637344409613548E-2</v>
      </c>
      <c r="H131" s="133">
        <f t="shared" si="36"/>
        <v>1.2428337923231784E-2</v>
      </c>
      <c r="I131" s="133">
        <f t="shared" si="36"/>
        <v>1.2284345740498703E-2</v>
      </c>
      <c r="J131" s="133">
        <f t="shared" si="36"/>
        <v>1.2303989045862985E-2</v>
      </c>
      <c r="K131" s="133">
        <f t="shared" si="36"/>
        <v>1.2157338328957264E-2</v>
      </c>
      <c r="L131" s="133">
        <f t="shared" si="36"/>
        <v>1.2235118008855217E-2</v>
      </c>
      <c r="M131" s="133">
        <f t="shared" si="36"/>
        <v>1.2408649363340992E-2</v>
      </c>
      <c r="N131" s="133">
        <f t="shared" si="36"/>
        <v>1.2469428704638312E-2</v>
      </c>
    </row>
    <row r="132" spans="1:14" s="77" customFormat="1" x14ac:dyDescent="0.25">
      <c r="A132" s="128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81"/>
      <c r="M132" s="81"/>
      <c r="N132" s="134"/>
    </row>
    <row r="133" spans="1:14" s="90" customFormat="1" x14ac:dyDescent="0.25">
      <c r="A133" s="131" t="s">
        <v>145</v>
      </c>
      <c r="B133" s="135">
        <f>SUM(B129:B131)</f>
        <v>7.1636093240730267E-2</v>
      </c>
      <c r="C133" s="135">
        <f t="shared" ref="C133:N133" si="37">SUM(C129:C131)</f>
        <v>6.92744928805063E-2</v>
      </c>
      <c r="D133" s="135">
        <f t="shared" si="37"/>
        <v>7.1927982307760652E-2</v>
      </c>
      <c r="E133" s="135">
        <f t="shared" si="37"/>
        <v>7.0303044173360862E-2</v>
      </c>
      <c r="F133" s="135">
        <f t="shared" si="37"/>
        <v>7.1688173230710722E-2</v>
      </c>
      <c r="G133" s="135">
        <f t="shared" si="37"/>
        <v>7.0983453072069269E-2</v>
      </c>
      <c r="H133" s="135">
        <f t="shared" si="37"/>
        <v>6.9787878493210831E-2</v>
      </c>
      <c r="I133" s="135">
        <f t="shared" si="37"/>
        <v>6.9032973303433151E-2</v>
      </c>
      <c r="J133" s="135">
        <f t="shared" si="37"/>
        <v>6.9005421630545363E-2</v>
      </c>
      <c r="K133" s="135">
        <f t="shared" si="37"/>
        <v>6.8244400726890808E-2</v>
      </c>
      <c r="L133" s="135">
        <f t="shared" si="37"/>
        <v>6.8680929708244812E-2</v>
      </c>
      <c r="M133" s="135">
        <f>SUM(M129:M131)</f>
        <v>6.9657563244129625E-2</v>
      </c>
      <c r="N133" s="135">
        <f t="shared" si="37"/>
        <v>7.0015617292227328E-2</v>
      </c>
    </row>
    <row r="134" spans="1:14" s="90" customFormat="1" x14ac:dyDescent="0.25">
      <c r="A134" s="128"/>
      <c r="B134" s="81"/>
      <c r="C134" s="81"/>
      <c r="D134" s="81"/>
      <c r="E134" s="128"/>
      <c r="F134" s="128"/>
      <c r="G134" s="81"/>
      <c r="H134" s="128"/>
      <c r="I134" s="81"/>
      <c r="J134" s="81"/>
      <c r="K134" s="81"/>
      <c r="L134" s="81"/>
      <c r="M134" s="81"/>
      <c r="N134" s="130"/>
    </row>
    <row r="135" spans="1:14" s="77" customFormat="1" x14ac:dyDescent="0.25">
      <c r="A135" s="136" t="s">
        <v>146</v>
      </c>
      <c r="B135" s="94">
        <f t="shared" ref="B135:L135" si="38">B100+B121</f>
        <v>26868755.359999999</v>
      </c>
      <c r="C135" s="94">
        <f>C100+C121</f>
        <v>23081888.399999999</v>
      </c>
      <c r="D135" s="94">
        <f t="shared" si="38"/>
        <v>27311932.779999994</v>
      </c>
      <c r="E135" s="94">
        <f>E100+E121</f>
        <v>25495158.760000002</v>
      </c>
      <c r="F135" s="94">
        <f t="shared" si="38"/>
        <v>27485337.130000003</v>
      </c>
      <c r="G135" s="94">
        <f t="shared" si="38"/>
        <v>25910025.280000001</v>
      </c>
      <c r="H135" s="94">
        <f t="shared" si="38"/>
        <v>26240927.68</v>
      </c>
      <c r="I135" s="94">
        <f t="shared" si="38"/>
        <v>26964688.290000003</v>
      </c>
      <c r="J135" s="94">
        <f t="shared" si="38"/>
        <v>25227728.399999999</v>
      </c>
      <c r="K135" s="94">
        <f t="shared" si="38"/>
        <v>26381534.59</v>
      </c>
      <c r="L135" s="94">
        <f t="shared" si="38"/>
        <v>26178390.910000004</v>
      </c>
      <c r="M135" s="94">
        <f>M100+M121</f>
        <v>29557951.039999999</v>
      </c>
      <c r="N135" s="94">
        <f>N100+N121</f>
        <v>316704318.62</v>
      </c>
    </row>
    <row r="136" spans="1:14" s="77" customFormat="1" ht="7.5" customHeight="1" x14ac:dyDescent="0.25">
      <c r="B136" s="139"/>
      <c r="C136" s="139"/>
      <c r="D136" s="139"/>
      <c r="G136" s="139"/>
      <c r="I136" s="139"/>
      <c r="J136" s="139"/>
      <c r="K136" s="139"/>
      <c r="L136" s="139"/>
      <c r="M136" s="139"/>
      <c r="N136" s="141"/>
    </row>
    <row r="137" spans="1:14" s="77" customFormat="1" x14ac:dyDescent="0.25">
      <c r="A137" s="3" t="s">
        <v>147</v>
      </c>
      <c r="B137" s="3" t="s">
        <v>88</v>
      </c>
      <c r="C137" s="3" t="s">
        <v>89</v>
      </c>
      <c r="D137" s="3" t="s">
        <v>90</v>
      </c>
      <c r="E137" s="3" t="s">
        <v>91</v>
      </c>
      <c r="F137" s="3" t="s">
        <v>92</v>
      </c>
      <c r="G137" s="3" t="s">
        <v>93</v>
      </c>
      <c r="H137" s="3" t="s">
        <v>94</v>
      </c>
      <c r="I137" s="3" t="s">
        <v>95</v>
      </c>
      <c r="J137" s="3" t="s">
        <v>96</v>
      </c>
      <c r="K137" s="3" t="s">
        <v>97</v>
      </c>
      <c r="L137" s="3" t="s">
        <v>98</v>
      </c>
      <c r="M137" s="3" t="s">
        <v>99</v>
      </c>
      <c r="N137" s="3" t="s">
        <v>12</v>
      </c>
    </row>
    <row r="138" spans="1:14" s="77" customFormat="1" x14ac:dyDescent="0.25">
      <c r="A138" s="141"/>
      <c r="B138" s="156"/>
      <c r="C138" s="81"/>
      <c r="D138" s="81"/>
      <c r="E138" s="81"/>
      <c r="F138" s="128"/>
      <c r="G138" s="81"/>
      <c r="H138" s="128"/>
      <c r="I138" s="81"/>
      <c r="J138" s="92"/>
      <c r="K138" s="81"/>
      <c r="L138" s="81"/>
      <c r="M138" s="81"/>
      <c r="N138" s="157"/>
    </row>
    <row r="139" spans="1:14" s="77" customFormat="1" x14ac:dyDescent="0.25">
      <c r="A139" s="130" t="s">
        <v>148</v>
      </c>
      <c r="B139" s="181">
        <f t="shared" ref="B139:M139" si="39">B91</f>
        <v>22107987.390000001</v>
      </c>
      <c r="C139" s="81">
        <f t="shared" si="39"/>
        <v>19007686.079999998</v>
      </c>
      <c r="D139" s="81">
        <f t="shared" si="39"/>
        <v>22497457.629999995</v>
      </c>
      <c r="E139" s="81">
        <f t="shared" si="39"/>
        <v>20986557.109999999</v>
      </c>
      <c r="F139" s="81">
        <f t="shared" si="39"/>
        <v>22634157.440000001</v>
      </c>
      <c r="G139" s="81">
        <f t="shared" si="39"/>
        <v>21339975.630000003</v>
      </c>
      <c r="H139" s="81">
        <f t="shared" si="39"/>
        <v>21610779.370000001</v>
      </c>
      <c r="I139" s="81">
        <f t="shared" si="39"/>
        <v>22227836.470000003</v>
      </c>
      <c r="J139" s="81">
        <f t="shared" si="39"/>
        <v>20813781.460000001</v>
      </c>
      <c r="K139" s="81">
        <f t="shared" si="39"/>
        <v>21728280.73</v>
      </c>
      <c r="L139" s="81">
        <f t="shared" si="39"/>
        <v>21556153.420000002</v>
      </c>
      <c r="M139" s="81">
        <f t="shared" si="39"/>
        <v>24342341.300000001</v>
      </c>
      <c r="N139" s="158">
        <f>SUM(B139:M139)</f>
        <v>260852994.03000003</v>
      </c>
    </row>
    <row r="140" spans="1:14" s="77" customFormat="1" x14ac:dyDescent="0.25">
      <c r="A140" s="130" t="s">
        <v>149</v>
      </c>
      <c r="B140" s="181">
        <f t="shared" ref="B140:M140" si="40">B112</f>
        <v>4790476.33</v>
      </c>
      <c r="C140" s="81">
        <f t="shared" si="40"/>
        <v>4118018.87</v>
      </c>
      <c r="D140" s="81">
        <f t="shared" si="40"/>
        <v>4873626</v>
      </c>
      <c r="E140" s="81">
        <f t="shared" si="40"/>
        <v>4546120.9899999993</v>
      </c>
      <c r="F140" s="81">
        <f t="shared" si="40"/>
        <v>4903647.1100000003</v>
      </c>
      <c r="G140" s="81">
        <f t="shared" si="40"/>
        <v>4622084.1099999994</v>
      </c>
      <c r="H140" s="81">
        <f t="shared" si="40"/>
        <v>4682500.3499999996</v>
      </c>
      <c r="I140" s="81">
        <f t="shared" si="40"/>
        <v>4811648.1399999997</v>
      </c>
      <c r="J140" s="81">
        <f t="shared" si="40"/>
        <v>4516509.1499999994</v>
      </c>
      <c r="K140" s="81">
        <f t="shared" si="40"/>
        <v>4709785.9799999995</v>
      </c>
      <c r="L140" s="81">
        <f t="shared" si="40"/>
        <v>4672482.74</v>
      </c>
      <c r="M140" s="81">
        <f t="shared" si="40"/>
        <v>5276180.0599999996</v>
      </c>
      <c r="N140" s="158">
        <f>SUM(B140:M140)</f>
        <v>56523079.829999998</v>
      </c>
    </row>
    <row r="141" spans="1:14" s="77" customFormat="1" ht="9" customHeight="1" x14ac:dyDescent="0.25">
      <c r="A141" s="128"/>
      <c r="B141" s="181"/>
      <c r="C141" s="81"/>
      <c r="D141" s="81"/>
      <c r="E141" s="81"/>
      <c r="F141" s="128"/>
      <c r="G141" s="81"/>
      <c r="H141" s="128"/>
      <c r="I141" s="137"/>
      <c r="J141" s="92"/>
      <c r="K141" s="81"/>
      <c r="L141" s="81"/>
      <c r="M141" s="81"/>
      <c r="N141" s="157"/>
    </row>
    <row r="142" spans="1:14" s="77" customFormat="1" ht="15.75" thickBot="1" x14ac:dyDescent="0.3">
      <c r="A142" s="130" t="s">
        <v>12</v>
      </c>
      <c r="B142" s="182">
        <f>SUM(B139:B141)</f>
        <v>26898463.719999999</v>
      </c>
      <c r="C142" s="159">
        <f t="shared" ref="C142:M142" si="41">SUM(C139:C141)</f>
        <v>23125704.949999999</v>
      </c>
      <c r="D142" s="159">
        <f t="shared" si="41"/>
        <v>27371083.629999995</v>
      </c>
      <c r="E142" s="159">
        <f t="shared" si="41"/>
        <v>25532678.099999998</v>
      </c>
      <c r="F142" s="159">
        <f>SUM(F139:F141)</f>
        <v>27537804.550000001</v>
      </c>
      <c r="G142" s="159">
        <f t="shared" si="41"/>
        <v>25962059.740000002</v>
      </c>
      <c r="H142" s="159">
        <f t="shared" si="41"/>
        <v>26293279.719999999</v>
      </c>
      <c r="I142" s="159">
        <f t="shared" si="41"/>
        <v>27039484.610000003</v>
      </c>
      <c r="J142" s="159">
        <f t="shared" si="41"/>
        <v>25330290.609999999</v>
      </c>
      <c r="K142" s="159">
        <f t="shared" si="41"/>
        <v>26438066.710000001</v>
      </c>
      <c r="L142" s="159">
        <f t="shared" si="41"/>
        <v>26228636.160000004</v>
      </c>
      <c r="M142" s="159">
        <f t="shared" si="41"/>
        <v>29618521.359999999</v>
      </c>
      <c r="N142" s="160">
        <f>SUM(B142:M142)</f>
        <v>317376073.86000001</v>
      </c>
    </row>
    <row r="143" spans="1:14" s="77" customFormat="1" ht="7.5" customHeight="1" x14ac:dyDescent="0.25">
      <c r="B143" s="139"/>
      <c r="C143" s="139"/>
      <c r="D143" s="139"/>
      <c r="E143" s="139"/>
      <c r="H143" s="139"/>
      <c r="I143" s="140"/>
      <c r="K143" s="139"/>
      <c r="L143" s="139"/>
      <c r="M143" s="139"/>
      <c r="N143" s="141"/>
    </row>
    <row r="144" spans="1:14" s="77" customFormat="1" ht="15.75" customHeight="1" x14ac:dyDescent="0.25">
      <c r="A144" s="214" t="s">
        <v>251</v>
      </c>
      <c r="B144" s="215"/>
      <c r="C144" s="139"/>
      <c r="D144" s="139"/>
      <c r="E144" s="139"/>
      <c r="H144" s="139"/>
      <c r="I144" s="140"/>
      <c r="K144" s="139"/>
      <c r="L144" s="139"/>
      <c r="M144" s="139"/>
      <c r="N144" s="141"/>
    </row>
    <row r="145" spans="2:14" s="77" customFormat="1" x14ac:dyDescent="0.25">
      <c r="B145" s="139"/>
      <c r="C145" s="139"/>
      <c r="D145" s="139"/>
      <c r="E145" s="139"/>
      <c r="H145" s="139"/>
      <c r="I145" s="140"/>
      <c r="K145" s="139"/>
      <c r="L145" s="139"/>
      <c r="M145" s="139"/>
      <c r="N145" s="141"/>
    </row>
    <row r="146" spans="2:14" s="77" customFormat="1" x14ac:dyDescent="0.25">
      <c r="B146" s="139"/>
      <c r="C146" s="139"/>
      <c r="D146" s="139"/>
      <c r="E146" s="139"/>
      <c r="H146" s="139"/>
      <c r="I146" s="140"/>
      <c r="K146" s="139"/>
      <c r="L146" s="139"/>
      <c r="M146" s="139"/>
      <c r="N146" s="141"/>
    </row>
    <row r="147" spans="2:14" s="77" customFormat="1" x14ac:dyDescent="0.25">
      <c r="B147" s="139"/>
      <c r="C147" s="139"/>
      <c r="D147" s="139"/>
      <c r="E147" s="139"/>
      <c r="G147" s="139"/>
      <c r="H147" s="139"/>
      <c r="I147" s="140"/>
      <c r="J147" s="139"/>
      <c r="K147" s="139"/>
      <c r="L147" s="139"/>
      <c r="M147" s="139"/>
      <c r="N147" s="141"/>
    </row>
    <row r="148" spans="2:14" s="77" customFormat="1" x14ac:dyDescent="0.25">
      <c r="B148" s="139"/>
      <c r="C148" s="139"/>
      <c r="D148" s="139"/>
      <c r="E148" s="139"/>
      <c r="G148" s="139"/>
      <c r="H148" s="139"/>
      <c r="I148" s="140"/>
      <c r="J148" s="139"/>
      <c r="K148" s="139"/>
      <c r="L148" s="139"/>
      <c r="M148" s="139"/>
      <c r="N148" s="141"/>
    </row>
    <row r="149" spans="2:14" s="77" customFormat="1" x14ac:dyDescent="0.25">
      <c r="B149" s="139"/>
      <c r="C149" s="139"/>
      <c r="D149" s="139"/>
      <c r="E149" s="139"/>
      <c r="G149" s="139"/>
      <c r="H149" s="139"/>
      <c r="I149" s="140"/>
      <c r="J149" s="139"/>
      <c r="K149" s="139"/>
      <c r="L149" s="139"/>
      <c r="M149" s="139"/>
      <c r="N149" s="141"/>
    </row>
    <row r="150" spans="2:14" s="77" customFormat="1" x14ac:dyDescent="0.25">
      <c r="B150" s="139"/>
      <c r="C150" s="139"/>
      <c r="D150" s="139"/>
      <c r="E150" s="139"/>
      <c r="G150" s="139"/>
      <c r="H150" s="139"/>
      <c r="I150" s="140"/>
      <c r="J150" s="139"/>
      <c r="L150" s="139"/>
      <c r="M150" s="139"/>
      <c r="N150" s="141"/>
    </row>
    <row r="151" spans="2:14" s="77" customFormat="1" x14ac:dyDescent="0.25">
      <c r="C151" s="139"/>
      <c r="D151" s="139"/>
      <c r="E151" s="139"/>
      <c r="G151" s="139"/>
      <c r="H151" s="139"/>
      <c r="I151" s="140"/>
      <c r="J151" s="139"/>
      <c r="L151" s="139"/>
      <c r="M151" s="139"/>
      <c r="N151" s="141"/>
    </row>
    <row r="152" spans="2:14" s="77" customFormat="1" x14ac:dyDescent="0.25">
      <c r="C152" s="139"/>
      <c r="D152" s="139"/>
      <c r="E152" s="139"/>
      <c r="G152" s="139"/>
      <c r="H152" s="139"/>
      <c r="I152" s="140"/>
      <c r="J152" s="139"/>
      <c r="L152" s="139"/>
      <c r="M152" s="139"/>
      <c r="N152" s="141"/>
    </row>
    <row r="153" spans="2:14" s="77" customFormat="1" x14ac:dyDescent="0.25">
      <c r="C153" s="139"/>
      <c r="D153" s="139"/>
      <c r="E153" s="139"/>
      <c r="G153" s="139"/>
      <c r="H153" s="139"/>
      <c r="I153" s="140"/>
      <c r="J153" s="139"/>
      <c r="L153" s="139"/>
      <c r="M153" s="139"/>
      <c r="N153" s="141"/>
    </row>
    <row r="154" spans="2:14" s="77" customFormat="1" x14ac:dyDescent="0.25">
      <c r="C154" s="139"/>
      <c r="D154" s="139"/>
      <c r="E154" s="139"/>
      <c r="G154" s="139"/>
      <c r="H154" s="139"/>
      <c r="I154" s="143"/>
      <c r="J154" s="139"/>
      <c r="L154" s="139"/>
      <c r="M154" s="139"/>
      <c r="N154" s="141"/>
    </row>
    <row r="155" spans="2:14" s="77" customFormat="1" x14ac:dyDescent="0.25">
      <c r="C155" s="139"/>
      <c r="D155" s="139"/>
      <c r="E155" s="139"/>
      <c r="G155" s="139"/>
      <c r="H155" s="139"/>
      <c r="I155" s="143"/>
      <c r="J155" s="139"/>
      <c r="L155" s="139"/>
      <c r="M155" s="139"/>
      <c r="N155" s="141"/>
    </row>
    <row r="156" spans="2:14" s="77" customFormat="1" x14ac:dyDescent="0.25">
      <c r="C156" s="139"/>
      <c r="D156" s="139"/>
      <c r="E156" s="139"/>
      <c r="G156" s="139"/>
      <c r="H156" s="139"/>
      <c r="I156" s="143"/>
      <c r="J156" s="139"/>
      <c r="L156" s="139"/>
      <c r="M156" s="139"/>
      <c r="N156" s="141"/>
    </row>
    <row r="157" spans="2:14" s="77" customFormat="1" x14ac:dyDescent="0.25">
      <c r="C157" s="139"/>
      <c r="D157" s="139"/>
      <c r="E157" s="139"/>
      <c r="G157" s="139"/>
      <c r="H157" s="139"/>
      <c r="I157" s="143"/>
      <c r="J157" s="139"/>
      <c r="L157" s="139"/>
      <c r="M157" s="139"/>
      <c r="N157" s="141"/>
    </row>
    <row r="158" spans="2:14" s="77" customFormat="1" x14ac:dyDescent="0.25">
      <c r="C158" s="139"/>
      <c r="D158" s="139"/>
      <c r="E158" s="139"/>
      <c r="G158" s="139"/>
      <c r="H158" s="139"/>
      <c r="I158" s="143"/>
      <c r="J158" s="139"/>
      <c r="L158" s="139"/>
      <c r="M158" s="139"/>
      <c r="N158" s="141"/>
    </row>
    <row r="159" spans="2:14" s="77" customFormat="1" x14ac:dyDescent="0.25">
      <c r="C159" s="143"/>
      <c r="D159" s="139"/>
      <c r="E159" s="139"/>
      <c r="G159" s="139"/>
      <c r="H159" s="144"/>
      <c r="J159" s="139"/>
      <c r="L159" s="139"/>
      <c r="M159" s="139"/>
      <c r="N159" s="141"/>
    </row>
    <row r="160" spans="2:14" s="77" customFormat="1" x14ac:dyDescent="0.25">
      <c r="D160" s="139"/>
      <c r="E160" s="139"/>
      <c r="G160" s="139"/>
      <c r="H160" s="143"/>
      <c r="I160" s="139"/>
      <c r="J160" s="139"/>
      <c r="L160" s="139"/>
      <c r="M160" s="139"/>
      <c r="N160" s="141"/>
    </row>
    <row r="161" spans="4:14" s="77" customFormat="1" x14ac:dyDescent="0.25">
      <c r="D161" s="139"/>
      <c r="E161" s="139"/>
      <c r="G161" s="139"/>
      <c r="I161" s="139"/>
      <c r="J161" s="139"/>
      <c r="L161" s="139"/>
      <c r="M161" s="139"/>
      <c r="N161" s="141"/>
    </row>
    <row r="162" spans="4:14" s="77" customFormat="1" x14ac:dyDescent="0.25">
      <c r="D162" s="139"/>
      <c r="E162" s="139"/>
      <c r="G162" s="139"/>
      <c r="H162" s="143"/>
      <c r="I162" s="139"/>
      <c r="J162" s="139"/>
      <c r="L162" s="139"/>
      <c r="M162" s="139"/>
      <c r="N162" s="141"/>
    </row>
    <row r="163" spans="4:14" s="77" customFormat="1" x14ac:dyDescent="0.25">
      <c r="D163" s="139"/>
      <c r="G163" s="139"/>
      <c r="I163" s="139"/>
      <c r="J163" s="139"/>
      <c r="L163" s="139"/>
      <c r="M163" s="139"/>
      <c r="N163" s="141"/>
    </row>
    <row r="164" spans="4:14" s="77" customFormat="1" x14ac:dyDescent="0.25">
      <c r="D164" s="139"/>
      <c r="G164" s="139"/>
      <c r="I164" s="139"/>
      <c r="J164" s="139"/>
      <c r="L164" s="139"/>
      <c r="M164" s="139"/>
      <c r="N164" s="141"/>
    </row>
    <row r="165" spans="4:14" s="77" customFormat="1" x14ac:dyDescent="0.25">
      <c r="D165" s="139"/>
      <c r="I165" s="139"/>
      <c r="J165" s="139"/>
      <c r="L165" s="139"/>
      <c r="M165" s="139"/>
      <c r="N165" s="141"/>
    </row>
    <row r="166" spans="4:14" s="77" customFormat="1" x14ac:dyDescent="0.25">
      <c r="D166" s="139"/>
      <c r="E166" s="161"/>
      <c r="I166" s="139"/>
      <c r="J166" s="139"/>
      <c r="L166" s="139"/>
      <c r="M166" s="139"/>
      <c r="N166" s="141"/>
    </row>
    <row r="167" spans="4:14" s="77" customFormat="1" x14ac:dyDescent="0.25">
      <c r="D167" s="139"/>
      <c r="E167" s="161"/>
      <c r="F167" s="161"/>
      <c r="I167" s="139"/>
      <c r="J167" s="139"/>
      <c r="L167" s="139"/>
      <c r="M167" s="139"/>
      <c r="N167" s="141"/>
    </row>
    <row r="168" spans="4:14" s="77" customFormat="1" x14ac:dyDescent="0.25">
      <c r="D168" s="139"/>
      <c r="E168" s="161"/>
      <c r="I168" s="139"/>
      <c r="J168" s="139"/>
      <c r="L168" s="139"/>
      <c r="M168" s="139"/>
      <c r="N168" s="141"/>
    </row>
    <row r="169" spans="4:14" s="77" customFormat="1" x14ac:dyDescent="0.25">
      <c r="D169" s="139"/>
      <c r="E169" s="161"/>
      <c r="F169" s="161"/>
      <c r="I169" s="139"/>
      <c r="J169" s="139"/>
      <c r="L169" s="139"/>
      <c r="M169" s="139"/>
      <c r="N169" s="141"/>
    </row>
    <row r="170" spans="4:14" s="77" customFormat="1" x14ac:dyDescent="0.25">
      <c r="D170" s="139"/>
      <c r="F170" s="161"/>
      <c r="I170" s="139"/>
      <c r="J170" s="139"/>
      <c r="L170" s="139"/>
      <c r="M170" s="139"/>
      <c r="N170" s="141"/>
    </row>
    <row r="171" spans="4:14" s="77" customFormat="1" x14ac:dyDescent="0.25">
      <c r="D171" s="139"/>
      <c r="F171" s="161"/>
      <c r="I171" s="139"/>
      <c r="J171" s="139"/>
      <c r="L171" s="139"/>
      <c r="M171" s="139"/>
      <c r="N171" s="141"/>
    </row>
    <row r="172" spans="4:14" s="77" customFormat="1" x14ac:dyDescent="0.25">
      <c r="D172" s="139"/>
      <c r="I172" s="139"/>
      <c r="J172" s="139"/>
      <c r="L172" s="139"/>
      <c r="M172" s="139"/>
      <c r="N172" s="141"/>
    </row>
    <row r="173" spans="4:14" s="77" customFormat="1" x14ac:dyDescent="0.25">
      <c r="D173" s="139"/>
      <c r="J173" s="139"/>
      <c r="L173" s="139"/>
      <c r="M173" s="139"/>
      <c r="N173" s="141"/>
    </row>
    <row r="174" spans="4:14" s="77" customFormat="1" x14ac:dyDescent="0.25">
      <c r="D174" s="139"/>
      <c r="I174" s="143"/>
      <c r="L174" s="139"/>
      <c r="M174" s="139"/>
      <c r="N174" s="141"/>
    </row>
    <row r="175" spans="4:14" s="77" customFormat="1" x14ac:dyDescent="0.25">
      <c r="D175" s="139"/>
      <c r="L175" s="139"/>
      <c r="M175" s="139"/>
      <c r="N175" s="141"/>
    </row>
    <row r="176" spans="4:14" s="77" customFormat="1" x14ac:dyDescent="0.25">
      <c r="D176" s="139"/>
      <c r="L176" s="139"/>
      <c r="M176" s="139"/>
      <c r="N176" s="141"/>
    </row>
    <row r="177" spans="4:14" s="77" customFormat="1" x14ac:dyDescent="0.25">
      <c r="D177" s="139"/>
      <c r="L177" s="139"/>
      <c r="M177" s="139"/>
      <c r="N177" s="141"/>
    </row>
    <row r="178" spans="4:14" x14ac:dyDescent="0.25">
      <c r="D178" s="145"/>
      <c r="J178" s="139"/>
    </row>
    <row r="179" spans="4:14" x14ac:dyDescent="0.25">
      <c r="D179" s="145"/>
      <c r="J179" s="147"/>
    </row>
    <row r="180" spans="4:14" x14ac:dyDescent="0.25">
      <c r="D180" s="145"/>
    </row>
    <row r="181" spans="4:14" x14ac:dyDescent="0.25">
      <c r="D181" s="145"/>
    </row>
  </sheetData>
  <mergeCells count="8">
    <mergeCell ref="A144:B144"/>
    <mergeCell ref="A1:N1"/>
    <mergeCell ref="A2:A3"/>
    <mergeCell ref="B2:N2"/>
    <mergeCell ref="A81:A82"/>
    <mergeCell ref="B81:N81"/>
    <mergeCell ref="A102:A103"/>
    <mergeCell ref="B102:N10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4"/>
  <sheetViews>
    <sheetView zoomScaleNormal="100" workbookViewId="0">
      <selection sqref="A1:N1"/>
    </sheetView>
  </sheetViews>
  <sheetFormatPr defaultRowHeight="15" x14ac:dyDescent="0.25"/>
  <cols>
    <col min="1" max="1" width="64.28515625" style="76" customWidth="1"/>
    <col min="2" max="7" width="21.42578125" style="76" customWidth="1"/>
    <col min="8" max="8" width="22.5703125" style="76" customWidth="1"/>
    <col min="9" max="11" width="21.42578125" style="76" customWidth="1"/>
    <col min="12" max="12" width="22.140625" style="145" customWidth="1"/>
    <col min="13" max="13" width="21.42578125" style="145" customWidth="1"/>
    <col min="14" max="14" width="23.85546875" style="146" bestFit="1" customWidth="1"/>
    <col min="15" max="16384" width="9.140625" style="76"/>
  </cols>
  <sheetData>
    <row r="1" spans="1:14" x14ac:dyDescent="0.25">
      <c r="A1" s="216" t="s">
        <v>243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9.25" customHeight="1" thickBot="1" x14ac:dyDescent="0.3">
      <c r="A2" s="217" t="s">
        <v>118</v>
      </c>
      <c r="B2" s="219" t="s">
        <v>151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7" customFormat="1" ht="15" customHeight="1" thickTop="1" x14ac:dyDescent="0.25">
      <c r="A3" s="218"/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  <c r="G3" s="3" t="s">
        <v>93</v>
      </c>
      <c r="H3" s="3" t="s">
        <v>94</v>
      </c>
      <c r="I3" s="3" t="s">
        <v>95</v>
      </c>
      <c r="J3" s="3" t="s">
        <v>96</v>
      </c>
      <c r="K3" s="3" t="s">
        <v>97</v>
      </c>
      <c r="L3" s="3" t="s">
        <v>98</v>
      </c>
      <c r="M3" s="3" t="s">
        <v>99</v>
      </c>
      <c r="N3" s="3" t="s">
        <v>12</v>
      </c>
    </row>
    <row r="4" spans="1:14" s="77" customFormat="1" ht="14.1" customHeight="1" x14ac:dyDescent="0.25">
      <c r="A4" s="78" t="s">
        <v>158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1"/>
      <c r="N4" s="82"/>
    </row>
    <row r="5" spans="1:14" s="77" customFormat="1" ht="14.1" customHeight="1" x14ac:dyDescent="0.25">
      <c r="A5" s="83" t="s">
        <v>159</v>
      </c>
      <c r="B5" s="148">
        <v>256757097.91</v>
      </c>
      <c r="C5" s="148">
        <f>480945121.12-256757097.91</f>
        <v>224188023.21000001</v>
      </c>
      <c r="D5" s="148">
        <f>715281053.53-480945121.12</f>
        <v>234335932.40999997</v>
      </c>
      <c r="E5" s="148">
        <f>943809154.91-715281053.53</f>
        <v>228528101.38</v>
      </c>
      <c r="F5" s="148">
        <v>239572200.59000003</v>
      </c>
      <c r="G5" s="148">
        <v>241101767.88000011</v>
      </c>
      <c r="H5" s="148">
        <v>254160898.68999982</v>
      </c>
      <c r="I5" s="148">
        <v>255602931.13000011</v>
      </c>
      <c r="J5" s="148">
        <v>257394890.58999991</v>
      </c>
      <c r="K5" s="148">
        <v>271204654.44999981</v>
      </c>
      <c r="L5" s="148">
        <v>275857889.18000031</v>
      </c>
      <c r="M5" s="148">
        <v>325473237.9000001</v>
      </c>
      <c r="N5" s="85">
        <f>SUM(B5:M5)</f>
        <v>3064177625.3200002</v>
      </c>
    </row>
    <row r="6" spans="1:14" s="77" customFormat="1" ht="14.1" customHeight="1" x14ac:dyDescent="0.25">
      <c r="A6" s="83" t="s">
        <v>160</v>
      </c>
      <c r="B6" s="148">
        <v>8269888.4199999999</v>
      </c>
      <c r="C6" s="148">
        <f>17019147.15-8269888.42</f>
        <v>8749258.7299999986</v>
      </c>
      <c r="D6" s="148">
        <f>25760523.52-17019147.15</f>
        <v>8741376.370000001</v>
      </c>
      <c r="E6" s="148">
        <f>34390417.17-25760523.52</f>
        <v>8629893.6500000022</v>
      </c>
      <c r="F6" s="148">
        <v>9109505.0199999958</v>
      </c>
      <c r="G6" s="148">
        <v>8591174.1600000039</v>
      </c>
      <c r="H6" s="148">
        <v>9260305.9799999967</v>
      </c>
      <c r="I6" s="148">
        <v>8960139.3299999982</v>
      </c>
      <c r="J6" s="148">
        <v>9078987</v>
      </c>
      <c r="K6" s="148">
        <v>8991948.700000003</v>
      </c>
      <c r="L6" s="148">
        <v>8810827.5900000036</v>
      </c>
      <c r="M6" s="148">
        <v>9072677.099999994</v>
      </c>
      <c r="N6" s="85">
        <f>SUM(B6:M6)</f>
        <v>106265982.05</v>
      </c>
    </row>
    <row r="7" spans="1:14" s="77" customFormat="1" ht="14.1" customHeight="1" x14ac:dyDescent="0.25">
      <c r="A7" s="86" t="s">
        <v>161</v>
      </c>
      <c r="B7" s="148">
        <v>550035.34</v>
      </c>
      <c r="C7" s="148">
        <f>1075984.4-550035.34</f>
        <v>525949.05999999994</v>
      </c>
      <c r="D7" s="148">
        <f>1640493.28-1075984.4</f>
        <v>564508.88000000012</v>
      </c>
      <c r="E7" s="148">
        <f>2227006.2-1640493.28</f>
        <v>586512.92000000016</v>
      </c>
      <c r="F7" s="148">
        <v>556105.98999999976</v>
      </c>
      <c r="G7" s="148">
        <v>609115.81000000006</v>
      </c>
      <c r="H7" s="148">
        <v>580987.24000000022</v>
      </c>
      <c r="I7" s="148">
        <v>528310.25</v>
      </c>
      <c r="J7" s="148">
        <v>465232</v>
      </c>
      <c r="K7" s="81">
        <v>-1774488.8900000001</v>
      </c>
      <c r="L7" s="148">
        <v>659936.83000000007</v>
      </c>
      <c r="M7" s="148">
        <v>628336.0299999998</v>
      </c>
      <c r="N7" s="85">
        <f t="shared" ref="N7:N13" si="0">SUM(B7:M7)</f>
        <v>4480541.46</v>
      </c>
    </row>
    <row r="8" spans="1:14" s="77" customFormat="1" ht="14.1" customHeight="1" x14ac:dyDescent="0.25">
      <c r="A8" s="83" t="s">
        <v>162</v>
      </c>
      <c r="B8" s="148">
        <v>0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85">
        <f t="shared" si="0"/>
        <v>0</v>
      </c>
    </row>
    <row r="9" spans="1:14" s="77" customFormat="1" ht="14.1" customHeight="1" x14ac:dyDescent="0.25">
      <c r="A9" s="83" t="s">
        <v>163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85">
        <f t="shared" si="0"/>
        <v>0</v>
      </c>
    </row>
    <row r="10" spans="1:14" s="77" customFormat="1" ht="14.1" customHeight="1" x14ac:dyDescent="0.25">
      <c r="A10" s="83" t="s">
        <v>164</v>
      </c>
      <c r="B10" s="148">
        <v>148836160.34</v>
      </c>
      <c r="C10" s="148">
        <f>280230862.48-148836160.34</f>
        <v>131394702.14000002</v>
      </c>
      <c r="D10" s="148">
        <f>418023873.28-280230862.48</f>
        <v>137793010.79999995</v>
      </c>
      <c r="E10" s="148">
        <f>553224998.06-418023873.28</f>
        <v>135201124.77999997</v>
      </c>
      <c r="F10" s="148">
        <v>141342205.91000009</v>
      </c>
      <c r="G10" s="148">
        <v>144349099.23000002</v>
      </c>
      <c r="H10" s="148">
        <v>150403651.66999996</v>
      </c>
      <c r="I10" s="148">
        <v>152078521.89999998</v>
      </c>
      <c r="J10" s="148">
        <v>152493874.72000003</v>
      </c>
      <c r="K10" s="148">
        <v>159744382.79999995</v>
      </c>
      <c r="L10" s="148">
        <v>164663299.28999996</v>
      </c>
      <c r="M10" s="148">
        <v>193604838.5</v>
      </c>
      <c r="N10" s="85">
        <f t="shared" si="0"/>
        <v>1811904872.0799999</v>
      </c>
    </row>
    <row r="11" spans="1:14" s="77" customFormat="1" ht="14.1" customHeight="1" x14ac:dyDescent="0.25">
      <c r="A11" s="83" t="s">
        <v>165</v>
      </c>
      <c r="B11" s="148">
        <v>2590513.7599999998</v>
      </c>
      <c r="C11" s="148">
        <f>4857790.54-2590513.76</f>
        <v>2267276.7800000003</v>
      </c>
      <c r="D11" s="148">
        <f>7360981.3-4857790.54</f>
        <v>2503190.7599999998</v>
      </c>
      <c r="E11" s="148">
        <f>10310745.44-7360981.3</f>
        <v>2949764.1399999997</v>
      </c>
      <c r="F11" s="148">
        <v>2443505.2599999998</v>
      </c>
      <c r="G11" s="148">
        <v>2862535.5600000005</v>
      </c>
      <c r="H11" s="148">
        <v>2738717.83</v>
      </c>
      <c r="I11" s="148">
        <v>3548900.5</v>
      </c>
      <c r="J11" s="148">
        <v>3170322.0800000019</v>
      </c>
      <c r="K11" s="148">
        <v>2937822.2899999991</v>
      </c>
      <c r="L11" s="148">
        <v>3206410.2199999988</v>
      </c>
      <c r="M11" s="148">
        <v>3477899.1300000027</v>
      </c>
      <c r="N11" s="85">
        <f t="shared" si="0"/>
        <v>34696858.310000002</v>
      </c>
    </row>
    <row r="12" spans="1:14" s="77" customFormat="1" ht="14.1" customHeight="1" x14ac:dyDescent="0.25">
      <c r="A12" s="83" t="s">
        <v>166</v>
      </c>
      <c r="B12" s="148">
        <v>0</v>
      </c>
      <c r="C12" s="148">
        <v>0</v>
      </c>
      <c r="D12" s="148">
        <f>1412481.63-0</f>
        <v>1412481.63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723644.33000000007</v>
      </c>
      <c r="K12" s="148">
        <v>0</v>
      </c>
      <c r="L12" s="148">
        <v>0</v>
      </c>
      <c r="M12" s="148">
        <v>0</v>
      </c>
      <c r="N12" s="85">
        <f t="shared" si="0"/>
        <v>2136125.96</v>
      </c>
    </row>
    <row r="13" spans="1:14" s="77" customFormat="1" ht="14.1" customHeight="1" x14ac:dyDescent="0.25">
      <c r="A13" s="83" t="s">
        <v>167</v>
      </c>
      <c r="B13" s="148">
        <v>946344.61</v>
      </c>
      <c r="C13" s="148">
        <f>2001702.35-946344.61</f>
        <v>1055357.7400000002</v>
      </c>
      <c r="D13" s="148">
        <f>2990150.73-2001702.35</f>
        <v>988448.37999999989</v>
      </c>
      <c r="E13" s="148">
        <f>3980361.71-2990150.73</f>
        <v>990210.98</v>
      </c>
      <c r="F13" s="148">
        <v>963361.23000000045</v>
      </c>
      <c r="G13" s="148">
        <v>996315.58999999985</v>
      </c>
      <c r="H13" s="148">
        <v>928757.25999999978</v>
      </c>
      <c r="I13" s="148">
        <v>925639.86000000034</v>
      </c>
      <c r="J13" s="148">
        <v>933904.44999999925</v>
      </c>
      <c r="K13" s="148">
        <v>977154.78000000119</v>
      </c>
      <c r="L13" s="148">
        <v>999821.36999999918</v>
      </c>
      <c r="M13" s="148">
        <v>1016788.0800000001</v>
      </c>
      <c r="N13" s="85">
        <f t="shared" si="0"/>
        <v>11722104.33</v>
      </c>
    </row>
    <row r="14" spans="1:14" s="77" customFormat="1" ht="14.1" customHeight="1" x14ac:dyDescent="0.25">
      <c r="A14" s="78" t="s">
        <v>168</v>
      </c>
      <c r="B14" s="79">
        <f>SUM(B5:B13)</f>
        <v>417950040.38</v>
      </c>
      <c r="C14" s="79">
        <f t="shared" ref="C14:L14" si="1">SUM(C5:C13)</f>
        <v>368180567.65999997</v>
      </c>
      <c r="D14" s="79">
        <f t="shared" si="1"/>
        <v>386338949.2299999</v>
      </c>
      <c r="E14" s="79">
        <f>SUM(E5:E13)</f>
        <v>376885607.84999996</v>
      </c>
      <c r="F14" s="79">
        <f t="shared" si="1"/>
        <v>393986884.00000012</v>
      </c>
      <c r="G14" s="79">
        <f>SUM(G5:G13)</f>
        <v>398510008.23000014</v>
      </c>
      <c r="H14" s="79">
        <f t="shared" si="1"/>
        <v>418073318.66999978</v>
      </c>
      <c r="I14" s="79">
        <f t="shared" si="1"/>
        <v>421644442.97000009</v>
      </c>
      <c r="J14" s="79">
        <f>SUM(J5:J13)</f>
        <v>424260855.1699999</v>
      </c>
      <c r="K14" s="79">
        <f t="shared" si="1"/>
        <v>442081474.12999976</v>
      </c>
      <c r="L14" s="79">
        <f t="shared" si="1"/>
        <v>454198184.48000026</v>
      </c>
      <c r="M14" s="79">
        <v>533273776.74000007</v>
      </c>
      <c r="N14" s="87">
        <f t="shared" ref="N14:N23" si="2">SUM(B14:M14)</f>
        <v>5035384109.5099993</v>
      </c>
    </row>
    <row r="15" spans="1:14" s="88" customFormat="1" ht="14.1" customHeight="1" x14ac:dyDescent="0.25">
      <c r="A15" s="83" t="s">
        <v>169</v>
      </c>
      <c r="B15" s="149">
        <v>1529912.02</v>
      </c>
      <c r="C15" s="149">
        <f>2994606.4-1529912.02</f>
        <v>1464694.38</v>
      </c>
      <c r="D15" s="149">
        <f>4410117.74-2994606.4</f>
        <v>1415511.3400000003</v>
      </c>
      <c r="E15" s="149">
        <f>5898635.63-4410117.74</f>
        <v>1488517.8899999997</v>
      </c>
      <c r="F15" s="148">
        <v>1463955.3600000003</v>
      </c>
      <c r="G15" s="148">
        <v>1545029.2799999993</v>
      </c>
      <c r="H15" s="149">
        <v>1485456.3200000003</v>
      </c>
      <c r="I15" s="149">
        <v>1562223.67</v>
      </c>
      <c r="J15" s="149">
        <v>1577505.4600000009</v>
      </c>
      <c r="K15" s="148">
        <v>1547796.8599999994</v>
      </c>
      <c r="L15" s="149">
        <v>1677637.2200000007</v>
      </c>
      <c r="M15" s="149">
        <v>1671929.6899999976</v>
      </c>
      <c r="N15" s="85">
        <f t="shared" si="2"/>
        <v>18430169.489999998</v>
      </c>
    </row>
    <row r="16" spans="1:14" s="77" customFormat="1" ht="14.1" customHeight="1" x14ac:dyDescent="0.25">
      <c r="A16" s="83" t="s">
        <v>170</v>
      </c>
      <c r="B16" s="149">
        <v>1474760.35</v>
      </c>
      <c r="C16" s="149">
        <f>3039973.43-1474760.35</f>
        <v>1565213.08</v>
      </c>
      <c r="D16" s="149">
        <f>4374466.54-3039973.43</f>
        <v>1334493.1099999999</v>
      </c>
      <c r="E16" s="149">
        <v>1651840.3099999996</v>
      </c>
      <c r="F16" s="148">
        <v>3688142.99</v>
      </c>
      <c r="G16" s="148">
        <v>2201970.0500000007</v>
      </c>
      <c r="H16" s="149">
        <v>1844801.4699999988</v>
      </c>
      <c r="I16" s="149">
        <v>1811497.870000001</v>
      </c>
      <c r="J16" s="149">
        <v>1441606.1799999997</v>
      </c>
      <c r="K16" s="148">
        <v>2559669.8500000015</v>
      </c>
      <c r="L16" s="149">
        <v>2730997.4799999967</v>
      </c>
      <c r="M16" s="149">
        <v>2008030.9200000018</v>
      </c>
      <c r="N16" s="85">
        <f t="shared" si="2"/>
        <v>24313023.66</v>
      </c>
    </row>
    <row r="17" spans="1:14" s="77" customFormat="1" ht="14.1" customHeight="1" x14ac:dyDescent="0.25">
      <c r="A17" s="83" t="s">
        <v>171</v>
      </c>
      <c r="B17" s="149">
        <v>0</v>
      </c>
      <c r="C17" s="149">
        <v>0</v>
      </c>
      <c r="D17" s="149">
        <f>78077.98-0</f>
        <v>78077.98</v>
      </c>
      <c r="E17" s="149">
        <v>0</v>
      </c>
      <c r="F17" s="148">
        <v>0</v>
      </c>
      <c r="G17" s="148">
        <v>45599.05</v>
      </c>
      <c r="H17" s="149">
        <v>0</v>
      </c>
      <c r="I17" s="149">
        <v>0</v>
      </c>
      <c r="J17" s="149">
        <v>124315.54000000001</v>
      </c>
      <c r="K17" s="148">
        <v>255312</v>
      </c>
      <c r="L17" s="149">
        <v>233597.55</v>
      </c>
      <c r="M17" s="149">
        <v>373098.49000000011</v>
      </c>
      <c r="N17" s="89">
        <f t="shared" si="2"/>
        <v>1110000.6100000001</v>
      </c>
    </row>
    <row r="18" spans="1:14" s="90" customFormat="1" ht="14.1" customHeight="1" x14ac:dyDescent="0.25">
      <c r="A18" s="83" t="s">
        <v>172</v>
      </c>
      <c r="B18" s="149">
        <v>0</v>
      </c>
      <c r="C18" s="149">
        <v>0</v>
      </c>
      <c r="D18" s="149">
        <v>0</v>
      </c>
      <c r="E18" s="149">
        <v>0</v>
      </c>
      <c r="F18" s="148">
        <v>0</v>
      </c>
      <c r="G18" s="148">
        <v>0</v>
      </c>
      <c r="H18" s="149">
        <v>0</v>
      </c>
      <c r="I18" s="149">
        <v>0</v>
      </c>
      <c r="J18" s="149">
        <v>0</v>
      </c>
      <c r="K18" s="148">
        <v>0</v>
      </c>
      <c r="L18" s="149">
        <v>0</v>
      </c>
      <c r="M18" s="149">
        <v>0</v>
      </c>
      <c r="N18" s="89">
        <f t="shared" si="2"/>
        <v>0</v>
      </c>
    </row>
    <row r="19" spans="1:14" s="90" customFormat="1" ht="14.1" customHeight="1" x14ac:dyDescent="0.25">
      <c r="A19" s="78" t="s">
        <v>173</v>
      </c>
      <c r="B19" s="79">
        <f t="shared" ref="B19:M19" si="3">SUM(B15:B18)</f>
        <v>3004672.37</v>
      </c>
      <c r="C19" s="79">
        <f t="shared" si="3"/>
        <v>3029907.46</v>
      </c>
      <c r="D19" s="79">
        <f t="shared" si="3"/>
        <v>2828082.43</v>
      </c>
      <c r="E19" s="79">
        <f t="shared" si="3"/>
        <v>3140358.1999999993</v>
      </c>
      <c r="F19" s="79">
        <f t="shared" si="3"/>
        <v>5152098.3500000006</v>
      </c>
      <c r="G19" s="79">
        <f>SUM(G15:G18)</f>
        <v>3792598.38</v>
      </c>
      <c r="H19" s="79">
        <f t="shared" si="3"/>
        <v>3330257.7899999991</v>
      </c>
      <c r="I19" s="79">
        <f t="shared" si="3"/>
        <v>3373721.540000001</v>
      </c>
      <c r="J19" s="79">
        <f t="shared" si="3"/>
        <v>3143427.1800000006</v>
      </c>
      <c r="K19" s="79">
        <f t="shared" si="3"/>
        <v>4362778.7100000009</v>
      </c>
      <c r="L19" s="79">
        <f t="shared" si="3"/>
        <v>4642232.2499999972</v>
      </c>
      <c r="M19" s="79">
        <f t="shared" si="3"/>
        <v>4053059.0999999996</v>
      </c>
      <c r="N19" s="91">
        <f>SUM(B19:M19)</f>
        <v>43853193.759999998</v>
      </c>
    </row>
    <row r="20" spans="1:14" s="90" customFormat="1" ht="14.1" customHeight="1" x14ac:dyDescent="0.25">
      <c r="A20" s="83" t="s">
        <v>174</v>
      </c>
      <c r="B20" s="149">
        <v>0</v>
      </c>
      <c r="C20" s="149">
        <v>0</v>
      </c>
      <c r="D20" s="149">
        <v>0</v>
      </c>
      <c r="E20" s="149">
        <v>0</v>
      </c>
      <c r="F20" s="81">
        <v>-40356.35</v>
      </c>
      <c r="G20" s="148">
        <v>0</v>
      </c>
      <c r="H20" s="149">
        <v>0</v>
      </c>
      <c r="I20" s="81">
        <v>-10000</v>
      </c>
      <c r="J20" s="81">
        <v>-61352.73</v>
      </c>
      <c r="K20" s="148">
        <v>0</v>
      </c>
      <c r="L20" s="81">
        <v>-11020.240000000005</v>
      </c>
      <c r="M20" s="149">
        <v>0</v>
      </c>
      <c r="N20" s="89">
        <f t="shared" si="2"/>
        <v>-122729.32</v>
      </c>
    </row>
    <row r="21" spans="1:14" s="90" customFormat="1" ht="14.1" customHeight="1" x14ac:dyDescent="0.25">
      <c r="A21" s="83" t="s">
        <v>175</v>
      </c>
      <c r="B21" s="149">
        <v>0</v>
      </c>
      <c r="C21" s="149">
        <v>0</v>
      </c>
      <c r="D21" s="149">
        <v>0</v>
      </c>
      <c r="E21" s="149">
        <v>0</v>
      </c>
      <c r="F21" s="148">
        <v>0</v>
      </c>
      <c r="G21" s="148">
        <v>0</v>
      </c>
      <c r="H21" s="149">
        <v>0</v>
      </c>
      <c r="I21" s="149">
        <v>0</v>
      </c>
      <c r="J21" s="148">
        <v>0</v>
      </c>
      <c r="K21" s="148">
        <v>0</v>
      </c>
      <c r="L21" s="149">
        <v>0</v>
      </c>
      <c r="M21" s="149">
        <v>0</v>
      </c>
      <c r="N21" s="89">
        <f t="shared" si="2"/>
        <v>0</v>
      </c>
    </row>
    <row r="22" spans="1:14" s="90" customFormat="1" ht="14.1" customHeight="1" x14ac:dyDescent="0.25">
      <c r="A22" s="83" t="s">
        <v>176</v>
      </c>
      <c r="B22" s="149">
        <v>0</v>
      </c>
      <c r="C22" s="149">
        <v>0</v>
      </c>
      <c r="D22" s="149">
        <v>0</v>
      </c>
      <c r="E22" s="149">
        <v>0</v>
      </c>
      <c r="F22" s="148">
        <v>0</v>
      </c>
      <c r="G22" s="148">
        <v>0</v>
      </c>
      <c r="H22" s="149">
        <v>0</v>
      </c>
      <c r="I22" s="149">
        <v>0</v>
      </c>
      <c r="J22" s="148">
        <v>0</v>
      </c>
      <c r="K22" s="148">
        <v>0</v>
      </c>
      <c r="L22" s="149">
        <v>0</v>
      </c>
      <c r="M22" s="149">
        <v>0</v>
      </c>
      <c r="N22" s="89">
        <f t="shared" si="2"/>
        <v>0</v>
      </c>
    </row>
    <row r="23" spans="1:14" s="90" customFormat="1" ht="14.1" customHeight="1" x14ac:dyDescent="0.25">
      <c r="A23" s="83" t="s">
        <v>177</v>
      </c>
      <c r="B23" s="149">
        <v>0</v>
      </c>
      <c r="C23" s="149">
        <v>0</v>
      </c>
      <c r="D23" s="81">
        <f>-78077.98+0</f>
        <v>-78077.98</v>
      </c>
      <c r="E23" s="149">
        <v>0</v>
      </c>
      <c r="F23" s="148">
        <v>0</v>
      </c>
      <c r="G23" s="81">
        <v>-45599.05</v>
      </c>
      <c r="H23" s="149">
        <v>0</v>
      </c>
      <c r="I23" s="149">
        <v>0</v>
      </c>
      <c r="J23" s="81">
        <v>-124315.54000000001</v>
      </c>
      <c r="K23" s="148">
        <v>0</v>
      </c>
      <c r="L23" s="149">
        <v>0</v>
      </c>
      <c r="M23" s="81">
        <v>-373098.49000000005</v>
      </c>
      <c r="N23" s="98">
        <f t="shared" si="2"/>
        <v>-621091.06000000006</v>
      </c>
    </row>
    <row r="24" spans="1:14" s="90" customFormat="1" ht="14.1" customHeight="1" x14ac:dyDescent="0.25">
      <c r="A24" s="83" t="s">
        <v>178</v>
      </c>
      <c r="B24" s="149">
        <v>0</v>
      </c>
      <c r="C24" s="149">
        <v>0</v>
      </c>
      <c r="D24" s="149">
        <v>0</v>
      </c>
      <c r="E24" s="149">
        <v>0</v>
      </c>
      <c r="F24" s="148">
        <v>0</v>
      </c>
      <c r="G24" s="148">
        <v>0</v>
      </c>
      <c r="H24" s="149">
        <v>0</v>
      </c>
      <c r="I24" s="149">
        <v>0</v>
      </c>
      <c r="J24" s="148">
        <v>0</v>
      </c>
      <c r="K24" s="148">
        <v>0</v>
      </c>
      <c r="L24" s="149">
        <v>0</v>
      </c>
      <c r="M24" s="149">
        <v>0</v>
      </c>
      <c r="N24" s="89">
        <f>SUM(B24:M24)</f>
        <v>0</v>
      </c>
    </row>
    <row r="25" spans="1:14" s="90" customFormat="1" ht="14.1" customHeight="1" x14ac:dyDescent="0.25">
      <c r="A25" s="78" t="s">
        <v>179</v>
      </c>
      <c r="B25" s="79">
        <f t="shared" ref="B25:N25" si="4">SUM(B20:B24)</f>
        <v>0</v>
      </c>
      <c r="C25" s="79">
        <f t="shared" si="4"/>
        <v>0</v>
      </c>
      <c r="D25" s="80">
        <f t="shared" si="4"/>
        <v>-78077.98</v>
      </c>
      <c r="E25" s="79">
        <f t="shared" si="4"/>
        <v>0</v>
      </c>
      <c r="F25" s="80">
        <f t="shared" si="4"/>
        <v>-40356.35</v>
      </c>
      <c r="G25" s="80">
        <f>SUM(G20:G24)</f>
        <v>-45599.05</v>
      </c>
      <c r="H25" s="79">
        <f t="shared" si="4"/>
        <v>0</v>
      </c>
      <c r="I25" s="80">
        <f t="shared" si="4"/>
        <v>-10000</v>
      </c>
      <c r="J25" s="80">
        <f t="shared" si="4"/>
        <v>-185668.27000000002</v>
      </c>
      <c r="K25" s="79">
        <f t="shared" si="4"/>
        <v>0</v>
      </c>
      <c r="L25" s="80">
        <f t="shared" si="4"/>
        <v>-11020.240000000005</v>
      </c>
      <c r="M25" s="80">
        <f t="shared" si="4"/>
        <v>-373098.49000000005</v>
      </c>
      <c r="N25" s="120">
        <f t="shared" si="4"/>
        <v>-743820.38000000012</v>
      </c>
    </row>
    <row r="26" spans="1:14" s="90" customFormat="1" ht="14.1" customHeight="1" x14ac:dyDescent="0.25">
      <c r="A26" s="83" t="s">
        <v>180</v>
      </c>
      <c r="B26" s="84">
        <v>0</v>
      </c>
      <c r="C26" s="84">
        <v>0</v>
      </c>
      <c r="D26" s="84">
        <v>0</v>
      </c>
      <c r="E26" s="84">
        <v>7549.23</v>
      </c>
      <c r="F26" s="148">
        <v>0</v>
      </c>
      <c r="G26" s="148">
        <v>0</v>
      </c>
      <c r="H26" s="84">
        <v>0</v>
      </c>
      <c r="I26" s="84">
        <v>50254.270000000004</v>
      </c>
      <c r="J26" s="84">
        <v>0</v>
      </c>
      <c r="K26" s="84">
        <v>7329.0800000000017</v>
      </c>
      <c r="L26" s="84">
        <v>0</v>
      </c>
      <c r="M26" s="84">
        <v>0</v>
      </c>
      <c r="N26" s="89">
        <f>SUM(B26:M26)</f>
        <v>65132.58</v>
      </c>
    </row>
    <row r="27" spans="1:14" s="90" customFormat="1" ht="12.75" customHeight="1" x14ac:dyDescent="0.25">
      <c r="A27" s="78" t="s">
        <v>181</v>
      </c>
      <c r="B27" s="94">
        <f t="shared" ref="B27:M27" si="5">+B14+B19+B25+B26</f>
        <v>420954712.75</v>
      </c>
      <c r="C27" s="94">
        <f t="shared" si="5"/>
        <v>371210475.11999995</v>
      </c>
      <c r="D27" s="94">
        <f>+D14+D19+D25+D26</f>
        <v>389088953.67999989</v>
      </c>
      <c r="E27" s="94">
        <f>+E14+E19+E25+E26</f>
        <v>380033515.27999997</v>
      </c>
      <c r="F27" s="94">
        <f t="shared" si="5"/>
        <v>399098626.00000012</v>
      </c>
      <c r="G27" s="94">
        <f>+G14+G19+G25+G26</f>
        <v>402257007.56000012</v>
      </c>
      <c r="H27" s="94">
        <f t="shared" si="5"/>
        <v>421403576.4599998</v>
      </c>
      <c r="I27" s="94">
        <f t="shared" si="5"/>
        <v>425058418.78000009</v>
      </c>
      <c r="J27" s="94">
        <f t="shared" si="5"/>
        <v>427218614.07999992</v>
      </c>
      <c r="K27" s="94">
        <f t="shared" si="5"/>
        <v>446451581.91999972</v>
      </c>
      <c r="L27" s="94">
        <f t="shared" si="5"/>
        <v>458829396.49000025</v>
      </c>
      <c r="M27" s="94">
        <f t="shared" si="5"/>
        <v>536953737.35000002</v>
      </c>
      <c r="N27" s="94">
        <f>SUM(B27:M27)</f>
        <v>5078558615.4699993</v>
      </c>
    </row>
    <row r="28" spans="1:14" s="90" customFormat="1" ht="8.1" customHeight="1" x14ac:dyDescent="0.25">
      <c r="A28" s="96"/>
      <c r="B28" s="84"/>
      <c r="C28" s="84"/>
      <c r="D28" s="84"/>
      <c r="E28" s="84"/>
      <c r="F28" s="84"/>
      <c r="G28" s="84"/>
      <c r="H28" s="79"/>
      <c r="I28" s="79"/>
      <c r="J28" s="79"/>
      <c r="K28" s="79"/>
      <c r="L28" s="79"/>
      <c r="M28" s="79"/>
      <c r="N28" s="91"/>
    </row>
    <row r="29" spans="1:14" s="90" customFormat="1" ht="14.1" customHeight="1" x14ac:dyDescent="0.25">
      <c r="A29" s="97" t="s">
        <v>182</v>
      </c>
      <c r="B29" s="84">
        <v>4059355.16</v>
      </c>
      <c r="C29" s="84">
        <f>8239475.64-4059355.16</f>
        <v>4180120.4799999995</v>
      </c>
      <c r="D29" s="84">
        <f>12796233.12-8239475.64</f>
        <v>4556757.4799999995</v>
      </c>
      <c r="E29" s="84">
        <f>17766391.56-12796233.12</f>
        <v>4970158.4399999995</v>
      </c>
      <c r="F29" s="148">
        <v>5429068.7600000016</v>
      </c>
      <c r="G29" s="148">
        <v>5355699.9800000004</v>
      </c>
      <c r="H29" s="84">
        <v>5382161.620000001</v>
      </c>
      <c r="I29" s="84">
        <v>4617447.7899999991</v>
      </c>
      <c r="J29" s="84">
        <v>4804274.2699999958</v>
      </c>
      <c r="K29" s="84">
        <v>4826646.8300000057</v>
      </c>
      <c r="L29" s="84">
        <v>5652721.2699999958</v>
      </c>
      <c r="M29" s="84">
        <v>11681892.660000004</v>
      </c>
      <c r="N29" s="89">
        <f t="shared" ref="N29:N34" si="6">SUM(B29:M29)</f>
        <v>65516304.740000002</v>
      </c>
    </row>
    <row r="30" spans="1:14" s="90" customFormat="1" ht="14.1" customHeight="1" x14ac:dyDescent="0.25">
      <c r="A30" s="83" t="s">
        <v>183</v>
      </c>
      <c r="B30" s="81">
        <v>-1319124.3700000001</v>
      </c>
      <c r="C30" s="81">
        <f>-2578423.56+1319124.37</f>
        <v>-1259299.19</v>
      </c>
      <c r="D30" s="81">
        <f>-3849048.27+2578423.56</f>
        <v>-1270624.71</v>
      </c>
      <c r="E30" s="81">
        <f>-5136180.43+3849048.27</f>
        <v>-1287132.1599999997</v>
      </c>
      <c r="F30" s="81">
        <v>-1360385.5899999999</v>
      </c>
      <c r="G30" s="81">
        <v>-1314473.83</v>
      </c>
      <c r="H30" s="81">
        <v>-1332811.4800000004</v>
      </c>
      <c r="I30" s="81">
        <v>-1343543.6300000008</v>
      </c>
      <c r="J30" s="81">
        <v>-1362348.0699999984</v>
      </c>
      <c r="K30" s="81">
        <v>-1367905.7700000014</v>
      </c>
      <c r="L30" s="81">
        <v>-1415440.9799999986</v>
      </c>
      <c r="M30" s="81">
        <v>-8132393.0800000001</v>
      </c>
      <c r="N30" s="98">
        <f t="shared" si="6"/>
        <v>-22765482.859999999</v>
      </c>
    </row>
    <row r="31" spans="1:14" s="90" customFormat="1" ht="14.1" customHeight="1" x14ac:dyDescent="0.25">
      <c r="A31" s="83" t="s">
        <v>184</v>
      </c>
      <c r="B31" s="149">
        <v>0</v>
      </c>
      <c r="C31" s="149">
        <v>0</v>
      </c>
      <c r="D31" s="81">
        <f>-233266.09</f>
        <v>-233266.09</v>
      </c>
      <c r="E31" s="149">
        <v>0</v>
      </c>
      <c r="F31" s="148">
        <v>0</v>
      </c>
      <c r="G31" s="81">
        <v>-73590.66</v>
      </c>
      <c r="H31" s="149">
        <v>0</v>
      </c>
      <c r="I31" s="148">
        <v>0</v>
      </c>
      <c r="J31" s="81">
        <v>-246131.5</v>
      </c>
      <c r="K31" s="148">
        <v>0</v>
      </c>
      <c r="L31" s="84">
        <v>0</v>
      </c>
      <c r="M31" s="81">
        <v>-82011.839999999967</v>
      </c>
      <c r="N31" s="98">
        <f t="shared" si="6"/>
        <v>-635000.09</v>
      </c>
    </row>
    <row r="32" spans="1:14" s="90" customFormat="1" ht="14.1" customHeight="1" x14ac:dyDescent="0.25">
      <c r="A32" s="83" t="s">
        <v>185</v>
      </c>
      <c r="B32" s="149">
        <f>-B26</f>
        <v>0</v>
      </c>
      <c r="C32" s="149">
        <f>-C26</f>
        <v>0</v>
      </c>
      <c r="D32" s="149">
        <f>-D26</f>
        <v>0</v>
      </c>
      <c r="E32" s="81">
        <f>-E26</f>
        <v>-7549.23</v>
      </c>
      <c r="F32" s="148">
        <v>0</v>
      </c>
      <c r="G32" s="148">
        <v>0</v>
      </c>
      <c r="H32" s="149">
        <v>0</v>
      </c>
      <c r="I32" s="81">
        <v>-50254.270000000004</v>
      </c>
      <c r="J32" s="148">
        <v>0</v>
      </c>
      <c r="K32" s="81">
        <v>-7329.0800000000017</v>
      </c>
      <c r="L32" s="84">
        <v>0</v>
      </c>
      <c r="M32" s="81">
        <v>0</v>
      </c>
      <c r="N32" s="98">
        <f t="shared" si="6"/>
        <v>-65132.58</v>
      </c>
    </row>
    <row r="33" spans="1:14" s="90" customFormat="1" ht="14.1" customHeight="1" x14ac:dyDescent="0.25">
      <c r="A33" s="83" t="s">
        <v>197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8">
        <v>0</v>
      </c>
      <c r="J33" s="148">
        <v>0</v>
      </c>
      <c r="K33" s="81">
        <v>-7185.04</v>
      </c>
      <c r="L33" s="84">
        <v>0</v>
      </c>
      <c r="M33" s="81">
        <v>-57880.37</v>
      </c>
      <c r="N33" s="89">
        <f t="shared" si="6"/>
        <v>-65065.41</v>
      </c>
    </row>
    <row r="34" spans="1:14" s="90" customFormat="1" ht="14.1" customHeight="1" x14ac:dyDescent="0.25">
      <c r="A34" s="97" t="s">
        <v>198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81">
        <v>-777.92</v>
      </c>
      <c r="J34" s="148">
        <v>0</v>
      </c>
      <c r="K34" s="148">
        <v>0</v>
      </c>
      <c r="L34" s="81">
        <v>-35106.120000000003</v>
      </c>
      <c r="M34" s="149">
        <v>0</v>
      </c>
      <c r="N34" s="89">
        <f t="shared" si="6"/>
        <v>-35884.04</v>
      </c>
    </row>
    <row r="35" spans="1:14" s="90" customFormat="1" ht="14.1" customHeight="1" x14ac:dyDescent="0.25">
      <c r="A35" s="78" t="s">
        <v>186</v>
      </c>
      <c r="B35" s="99">
        <f t="shared" ref="B35:M35" si="7">SUM(B29:B34)</f>
        <v>2740230.79</v>
      </c>
      <c r="C35" s="99">
        <f t="shared" si="7"/>
        <v>2920821.2899999996</v>
      </c>
      <c r="D35" s="99">
        <f t="shared" si="7"/>
        <v>3052866.6799999997</v>
      </c>
      <c r="E35" s="99">
        <f t="shared" si="7"/>
        <v>3675477.05</v>
      </c>
      <c r="F35" s="99">
        <f t="shared" si="7"/>
        <v>4068683.1700000018</v>
      </c>
      <c r="G35" s="99">
        <f t="shared" si="7"/>
        <v>3967635.49</v>
      </c>
      <c r="H35" s="99">
        <f t="shared" si="7"/>
        <v>4049350.1400000006</v>
      </c>
      <c r="I35" s="99">
        <f t="shared" si="7"/>
        <v>3222871.9699999983</v>
      </c>
      <c r="J35" s="99">
        <f t="shared" si="7"/>
        <v>3195794.6999999974</v>
      </c>
      <c r="K35" s="99">
        <f t="shared" si="7"/>
        <v>3444226.9400000041</v>
      </c>
      <c r="L35" s="99">
        <f t="shared" si="7"/>
        <v>4202174.1699999971</v>
      </c>
      <c r="M35" s="99">
        <f t="shared" si="7"/>
        <v>3409607.3700000038</v>
      </c>
      <c r="N35" s="99">
        <f>SUM(N29:N34)</f>
        <v>41949739.760000005</v>
      </c>
    </row>
    <row r="36" spans="1:14" s="77" customFormat="1" ht="14.1" customHeight="1" x14ac:dyDescent="0.25">
      <c r="A36" s="78" t="s">
        <v>187</v>
      </c>
      <c r="B36" s="94">
        <f t="shared" ref="B36:N36" si="8">B35</f>
        <v>2740230.79</v>
      </c>
      <c r="C36" s="94">
        <f t="shared" si="8"/>
        <v>2920821.2899999996</v>
      </c>
      <c r="D36" s="94">
        <f t="shared" si="8"/>
        <v>3052866.6799999997</v>
      </c>
      <c r="E36" s="94">
        <f t="shared" si="8"/>
        <v>3675477.05</v>
      </c>
      <c r="F36" s="94">
        <f t="shared" si="8"/>
        <v>4068683.1700000018</v>
      </c>
      <c r="G36" s="94">
        <f t="shared" si="8"/>
        <v>3967635.49</v>
      </c>
      <c r="H36" s="94">
        <f t="shared" si="8"/>
        <v>4049350.1400000006</v>
      </c>
      <c r="I36" s="94">
        <f t="shared" si="8"/>
        <v>3222871.9699999983</v>
      </c>
      <c r="J36" s="94">
        <f t="shared" si="8"/>
        <v>3195794.6999999974</v>
      </c>
      <c r="K36" s="94">
        <f t="shared" si="8"/>
        <v>3444226.9400000041</v>
      </c>
      <c r="L36" s="94">
        <f t="shared" si="8"/>
        <v>4202174.1699999971</v>
      </c>
      <c r="M36" s="94">
        <f t="shared" si="8"/>
        <v>3409607.3700000038</v>
      </c>
      <c r="N36" s="94">
        <f t="shared" si="8"/>
        <v>41949739.760000005</v>
      </c>
    </row>
    <row r="37" spans="1:14" s="77" customFormat="1" ht="8.1" customHeight="1" x14ac:dyDescent="0.2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99"/>
    </row>
    <row r="38" spans="1:14" s="77" customFormat="1" ht="14.1" customHeight="1" thickBot="1" x14ac:dyDescent="0.3">
      <c r="A38" s="100" t="s">
        <v>188</v>
      </c>
      <c r="B38" s="101">
        <f>B27+B36</f>
        <v>423694943.54000002</v>
      </c>
      <c r="C38" s="101">
        <f t="shared" ref="C38:M38" si="9">C27+C36</f>
        <v>374131296.40999997</v>
      </c>
      <c r="D38" s="101">
        <f t="shared" si="9"/>
        <v>392141820.3599999</v>
      </c>
      <c r="E38" s="101">
        <f>E27+E36</f>
        <v>383708992.32999998</v>
      </c>
      <c r="F38" s="101">
        <f t="shared" si="9"/>
        <v>403167309.17000014</v>
      </c>
      <c r="G38" s="101">
        <f t="shared" si="9"/>
        <v>406224643.05000013</v>
      </c>
      <c r="H38" s="101">
        <f>H27+H36</f>
        <v>425452926.59999979</v>
      </c>
      <c r="I38" s="101">
        <f t="shared" si="9"/>
        <v>428281290.75000006</v>
      </c>
      <c r="J38" s="101">
        <f t="shared" si="9"/>
        <v>430414408.77999991</v>
      </c>
      <c r="K38" s="101">
        <f t="shared" si="9"/>
        <v>449895808.85999972</v>
      </c>
      <c r="L38" s="101">
        <f t="shared" si="9"/>
        <v>463031570.66000026</v>
      </c>
      <c r="M38" s="101">
        <f t="shared" si="9"/>
        <v>540363344.72000003</v>
      </c>
      <c r="N38" s="102">
        <f>SUM(B38:M38)</f>
        <v>5120508355.2299995</v>
      </c>
    </row>
    <row r="39" spans="1:14" s="77" customFormat="1" ht="9.9499999999999993" customHeight="1" thickTop="1" thickBot="1" x14ac:dyDescent="0.3">
      <c r="A39" s="152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53"/>
    </row>
    <row r="40" spans="1:14" s="90" customFormat="1" ht="14.1" customHeight="1" thickTop="1" x14ac:dyDescent="0.25">
      <c r="A40" s="106" t="s">
        <v>189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  <c r="L40" s="109"/>
      <c r="M40" s="109"/>
      <c r="N40" s="110"/>
    </row>
    <row r="41" spans="1:14" s="90" customFormat="1" ht="14.1" customHeight="1" x14ac:dyDescent="0.25">
      <c r="A41" s="111" t="s">
        <v>190</v>
      </c>
      <c r="B41" s="79">
        <f>SUM(B42:B54)</f>
        <v>13785759.92</v>
      </c>
      <c r="C41" s="79">
        <f t="shared" ref="C41:N41" si="10">SUM(C42:C54)</f>
        <v>13289118.49</v>
      </c>
      <c r="D41" s="79">
        <f t="shared" si="10"/>
        <v>12352781.75</v>
      </c>
      <c r="E41" s="79">
        <f>SUM(E42:E54)</f>
        <v>16200023.149999999</v>
      </c>
      <c r="F41" s="79">
        <f t="shared" si="10"/>
        <v>15056830.909999998</v>
      </c>
      <c r="G41" s="79">
        <f t="shared" si="10"/>
        <v>11244998.77</v>
      </c>
      <c r="H41" s="79">
        <f>SUM(H42:H54)</f>
        <v>17760670.5</v>
      </c>
      <c r="I41" s="79">
        <f t="shared" si="10"/>
        <v>16120209.790000001</v>
      </c>
      <c r="J41" s="79">
        <f t="shared" si="10"/>
        <v>16100931.739999998</v>
      </c>
      <c r="K41" s="79">
        <f t="shared" si="10"/>
        <v>18369217.600000001</v>
      </c>
      <c r="L41" s="79">
        <f t="shared" si="10"/>
        <v>19604899.539999999</v>
      </c>
      <c r="M41" s="79">
        <f>SUM(M42:M54)</f>
        <v>18901501.490000006</v>
      </c>
      <c r="N41" s="99">
        <f t="shared" si="10"/>
        <v>188786943.65000004</v>
      </c>
    </row>
    <row r="42" spans="1:14" s="90" customFormat="1" ht="14.1" customHeight="1" x14ac:dyDescent="0.25">
      <c r="A42" s="83" t="s">
        <v>211</v>
      </c>
      <c r="B42" s="149">
        <v>364404.31</v>
      </c>
      <c r="C42" s="149">
        <v>563381.49</v>
      </c>
      <c r="D42" s="149">
        <f>300963.83-73475.59</f>
        <v>227488.24000000002</v>
      </c>
      <c r="E42" s="149">
        <f>856153.93-145325.12</f>
        <v>710828.81</v>
      </c>
      <c r="F42" s="149">
        <v>716408.54</v>
      </c>
      <c r="G42" s="149">
        <v>412705.23</v>
      </c>
      <c r="H42" s="149">
        <v>610323.23</v>
      </c>
      <c r="I42" s="149">
        <v>466441.44</v>
      </c>
      <c r="J42" s="149">
        <v>377812.65</v>
      </c>
      <c r="K42" s="149">
        <v>519344.44</v>
      </c>
      <c r="L42" s="149">
        <v>533874.49</v>
      </c>
      <c r="M42" s="149">
        <f>503256.82+50</f>
        <v>503306.82</v>
      </c>
      <c r="N42" s="89">
        <f t="shared" ref="N42:N54" si="11">SUM(B42:M42)</f>
        <v>6006319.6900000013</v>
      </c>
    </row>
    <row r="43" spans="1:14" s="90" customFormat="1" ht="14.1" customHeight="1" x14ac:dyDescent="0.25">
      <c r="A43" s="83" t="s">
        <v>212</v>
      </c>
      <c r="B43" s="149">
        <v>15127.23</v>
      </c>
      <c r="C43" s="149">
        <v>24331.27</v>
      </c>
      <c r="D43" s="149">
        <v>10509.54</v>
      </c>
      <c r="E43" s="149">
        <v>18351.93</v>
      </c>
      <c r="F43" s="149">
        <f>14796.28+8510.02</f>
        <v>23306.300000000003</v>
      </c>
      <c r="G43" s="149">
        <v>9977.3700000000008</v>
      </c>
      <c r="H43" s="149">
        <v>17417.52</v>
      </c>
      <c r="I43" s="149">
        <v>23784.45</v>
      </c>
      <c r="J43" s="149">
        <v>8815.9500000000007</v>
      </c>
      <c r="K43" s="149">
        <v>23186.82</v>
      </c>
      <c r="L43" s="149">
        <v>30883.19</v>
      </c>
      <c r="M43" s="149">
        <v>12294.32</v>
      </c>
      <c r="N43" s="89">
        <f t="shared" si="11"/>
        <v>217985.89000000004</v>
      </c>
    </row>
    <row r="44" spans="1:14" s="90" customFormat="1" ht="14.1" customHeight="1" x14ac:dyDescent="0.25">
      <c r="A44" s="83" t="s">
        <v>213</v>
      </c>
      <c r="B44" s="149">
        <v>865581.15</v>
      </c>
      <c r="C44" s="149">
        <v>1591303.37</v>
      </c>
      <c r="D44" s="149">
        <v>1754848.43</v>
      </c>
      <c r="E44" s="149">
        <f>1869867.06-350</f>
        <v>1869517.06</v>
      </c>
      <c r="F44" s="149">
        <v>1698479.24</v>
      </c>
      <c r="G44" s="149">
        <v>1175331.94</v>
      </c>
      <c r="H44" s="149">
        <v>1710182.39</v>
      </c>
      <c r="I44" s="149">
        <f>2583871.02-920</f>
        <v>2582951.02</v>
      </c>
      <c r="J44" s="149">
        <v>1360447.25</v>
      </c>
      <c r="K44" s="149">
        <v>2526601.0499999998</v>
      </c>
      <c r="L44" s="149">
        <v>4060233.19</v>
      </c>
      <c r="M44" s="149">
        <v>1746395.83</v>
      </c>
      <c r="N44" s="89">
        <f t="shared" si="11"/>
        <v>22941871.920000002</v>
      </c>
    </row>
    <row r="45" spans="1:14" s="90" customFormat="1" ht="14.1" customHeight="1" x14ac:dyDescent="0.25">
      <c r="A45" s="83" t="s">
        <v>214</v>
      </c>
      <c r="B45" s="149">
        <v>653075.87</v>
      </c>
      <c r="C45" s="149">
        <v>687354.79</v>
      </c>
      <c r="D45" s="149">
        <v>587714.91</v>
      </c>
      <c r="E45" s="149">
        <v>564750.79</v>
      </c>
      <c r="F45" s="149">
        <v>649450.34</v>
      </c>
      <c r="G45" s="149">
        <v>682149.47</v>
      </c>
      <c r="H45" s="149">
        <v>881004.39</v>
      </c>
      <c r="I45" s="149">
        <v>739803.42</v>
      </c>
      <c r="J45" s="149">
        <v>771271.58</v>
      </c>
      <c r="K45" s="149">
        <v>602499.04</v>
      </c>
      <c r="L45" s="149">
        <v>699251.54</v>
      </c>
      <c r="M45" s="149">
        <v>339636.39</v>
      </c>
      <c r="N45" s="89">
        <f t="shared" si="11"/>
        <v>7857962.5299999993</v>
      </c>
    </row>
    <row r="46" spans="1:14" s="90" customFormat="1" ht="14.1" customHeight="1" x14ac:dyDescent="0.25">
      <c r="A46" s="83" t="s">
        <v>215</v>
      </c>
      <c r="B46" s="149">
        <v>9683427.7100000009</v>
      </c>
      <c r="C46" s="149">
        <v>8324000.9500000002</v>
      </c>
      <c r="D46" s="149">
        <v>7553640.8600000003</v>
      </c>
      <c r="E46" s="149">
        <v>10437939.720000001</v>
      </c>
      <c r="F46" s="149">
        <v>8957467.9100000001</v>
      </c>
      <c r="G46" s="149">
        <v>6650964.5499999998</v>
      </c>
      <c r="H46" s="149">
        <v>11547269.85</v>
      </c>
      <c r="I46" s="149">
        <v>9740580.0800000001</v>
      </c>
      <c r="J46" s="149">
        <v>10785073.460000001</v>
      </c>
      <c r="K46" s="149">
        <v>11809704.699999999</v>
      </c>
      <c r="L46" s="149">
        <v>11782886.1</v>
      </c>
      <c r="M46" s="149">
        <v>13824420.310000001</v>
      </c>
      <c r="N46" s="89">
        <f t="shared" si="11"/>
        <v>121097376.2</v>
      </c>
    </row>
    <row r="47" spans="1:14" s="90" customFormat="1" ht="14.1" customHeight="1" x14ac:dyDescent="0.25">
      <c r="A47" s="83" t="s">
        <v>216</v>
      </c>
      <c r="B47" s="149">
        <v>0</v>
      </c>
      <c r="C47" s="149">
        <v>0</v>
      </c>
      <c r="D47" s="149">
        <v>0</v>
      </c>
      <c r="E47" s="149">
        <v>0</v>
      </c>
      <c r="F47" s="149">
        <f>2433.76</f>
        <v>2433.7600000000002</v>
      </c>
      <c r="G47" s="149">
        <v>0</v>
      </c>
      <c r="H47" s="149">
        <v>0</v>
      </c>
      <c r="I47" s="149">
        <v>0</v>
      </c>
      <c r="J47" s="149">
        <v>2800</v>
      </c>
      <c r="K47" s="149">
        <v>0</v>
      </c>
      <c r="L47" s="149">
        <v>1.77</v>
      </c>
      <c r="M47" s="149">
        <v>2800</v>
      </c>
      <c r="N47" s="89">
        <f t="shared" si="11"/>
        <v>8035.5300000000007</v>
      </c>
    </row>
    <row r="48" spans="1:14" s="90" customFormat="1" ht="14.1" customHeight="1" x14ac:dyDescent="0.25">
      <c r="A48" s="83" t="s">
        <v>217</v>
      </c>
      <c r="B48" s="149">
        <v>23800.720000000001</v>
      </c>
      <c r="C48" s="149">
        <v>44610.080000000002</v>
      </c>
      <c r="D48" s="149">
        <v>26212.93</v>
      </c>
      <c r="E48" s="149">
        <f>21825.18-255</f>
        <v>21570.18</v>
      </c>
      <c r="F48" s="149">
        <v>20951.28</v>
      </c>
      <c r="G48" s="149">
        <v>30185.81</v>
      </c>
      <c r="H48" s="149">
        <v>58127.63</v>
      </c>
      <c r="I48" s="149">
        <v>52887.14</v>
      </c>
      <c r="J48" s="149">
        <v>29572.54</v>
      </c>
      <c r="K48" s="149">
        <v>51180.03</v>
      </c>
      <c r="L48" s="149">
        <v>28940.27</v>
      </c>
      <c r="M48" s="149">
        <v>34353.449999999997</v>
      </c>
      <c r="N48" s="89">
        <f t="shared" si="11"/>
        <v>422392.06</v>
      </c>
    </row>
    <row r="49" spans="1:14" s="90" customFormat="1" ht="14.1" customHeight="1" x14ac:dyDescent="0.25">
      <c r="A49" s="83" t="s">
        <v>218</v>
      </c>
      <c r="B49" s="149">
        <v>40717.32</v>
      </c>
      <c r="C49" s="149">
        <v>133191.85999999999</v>
      </c>
      <c r="D49" s="149">
        <f>95581.57-129.75</f>
        <v>95451.82</v>
      </c>
      <c r="E49" s="149">
        <f>105555-120</f>
        <v>105435</v>
      </c>
      <c r="F49" s="149">
        <v>200810.16</v>
      </c>
      <c r="G49" s="149">
        <v>123568.05</v>
      </c>
      <c r="H49" s="149">
        <v>189128.67</v>
      </c>
      <c r="I49" s="149">
        <v>122225.47</v>
      </c>
      <c r="J49" s="149">
        <v>151451.78</v>
      </c>
      <c r="K49" s="149">
        <v>121036.31</v>
      </c>
      <c r="L49" s="149">
        <v>211018.05</v>
      </c>
      <c r="M49" s="149">
        <v>49181.22</v>
      </c>
      <c r="N49" s="89">
        <f t="shared" si="11"/>
        <v>1543215.7100000002</v>
      </c>
    </row>
    <row r="50" spans="1:14" s="90" customFormat="1" ht="14.1" customHeight="1" x14ac:dyDescent="0.25">
      <c r="A50" s="83" t="s">
        <v>219</v>
      </c>
      <c r="B50" s="149">
        <v>1244742.8799999999</v>
      </c>
      <c r="C50" s="149">
        <v>1074103.18</v>
      </c>
      <c r="D50" s="149">
        <v>1131353.95</v>
      </c>
      <c r="E50" s="149">
        <f>1204157.45-28.1</f>
        <v>1204129.3499999999</v>
      </c>
      <c r="F50" s="149">
        <f>19769.42+1265194.56</f>
        <v>1284963.98</v>
      </c>
      <c r="G50" s="149">
        <v>1120772.3700000001</v>
      </c>
      <c r="H50" s="149">
        <v>1094215.6100000001</v>
      </c>
      <c r="I50" s="149">
        <v>1207491.8700000001</v>
      </c>
      <c r="J50" s="149">
        <v>1224111.58</v>
      </c>
      <c r="K50" s="149">
        <v>1404661.5</v>
      </c>
      <c r="L50" s="149">
        <v>1350415.16</v>
      </c>
      <c r="M50" s="149">
        <v>1195416</v>
      </c>
      <c r="N50" s="89">
        <f t="shared" si="11"/>
        <v>14536377.430000002</v>
      </c>
    </row>
    <row r="51" spans="1:14" s="90" customFormat="1" ht="14.1" customHeight="1" x14ac:dyDescent="0.25">
      <c r="A51" s="83" t="s">
        <v>220</v>
      </c>
      <c r="B51" s="149">
        <v>7528.37</v>
      </c>
      <c r="C51" s="149">
        <v>9139.35</v>
      </c>
      <c r="D51" s="149">
        <v>7127</v>
      </c>
      <c r="E51" s="149">
        <v>10208</v>
      </c>
      <c r="F51" s="149">
        <v>34031.68</v>
      </c>
      <c r="G51" s="149">
        <v>9724.42</v>
      </c>
      <c r="H51" s="149">
        <v>4945.3500000000004</v>
      </c>
      <c r="I51" s="149">
        <v>30</v>
      </c>
      <c r="J51" s="149">
        <v>981</v>
      </c>
      <c r="K51" s="149">
        <v>3528.4</v>
      </c>
      <c r="L51" s="149">
        <v>27571</v>
      </c>
      <c r="M51" s="149">
        <v>2804</v>
      </c>
      <c r="N51" s="89">
        <f t="shared" si="11"/>
        <v>117618.56999999999</v>
      </c>
    </row>
    <row r="52" spans="1:14" s="90" customFormat="1" ht="14.1" customHeight="1" x14ac:dyDescent="0.25">
      <c r="A52" s="83" t="s">
        <v>221</v>
      </c>
      <c r="B52" s="149">
        <v>193022.54</v>
      </c>
      <c r="C52" s="149">
        <v>185079.21</v>
      </c>
      <c r="D52" s="149">
        <v>179940.76</v>
      </c>
      <c r="E52" s="149">
        <f>302583.45-186</f>
        <v>302397.45</v>
      </c>
      <c r="F52" s="149">
        <v>321939.44</v>
      </c>
      <c r="G52" s="149">
        <v>217999.41</v>
      </c>
      <c r="H52" s="149">
        <v>297899.17</v>
      </c>
      <c r="I52" s="149">
        <v>290186.90000000002</v>
      </c>
      <c r="J52" s="149">
        <f>221347.82-38</f>
        <v>221309.82</v>
      </c>
      <c r="K52" s="149">
        <v>164565.12</v>
      </c>
      <c r="L52" s="149">
        <v>151713.89000000001</v>
      </c>
      <c r="M52" s="149">
        <v>174452.03</v>
      </c>
      <c r="N52" s="89">
        <f t="shared" si="11"/>
        <v>2700505.7399999998</v>
      </c>
    </row>
    <row r="53" spans="1:14" s="90" customFormat="1" ht="14.1" customHeight="1" x14ac:dyDescent="0.25">
      <c r="A53" s="83" t="s">
        <v>222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89">
        <f t="shared" si="11"/>
        <v>0</v>
      </c>
    </row>
    <row r="54" spans="1:14" s="90" customFormat="1" ht="14.1" customHeight="1" x14ac:dyDescent="0.25">
      <c r="A54" s="83" t="s">
        <v>223</v>
      </c>
      <c r="B54" s="149">
        <v>694331.82</v>
      </c>
      <c r="C54" s="149">
        <v>652622.93999999994</v>
      </c>
      <c r="D54" s="149">
        <f>778553.81-60.5</f>
        <v>778493.31</v>
      </c>
      <c r="E54" s="149">
        <f>955010.86-116</f>
        <v>954894.86</v>
      </c>
      <c r="F54" s="149">
        <f>1108973.23+37615.05</f>
        <v>1146588.28</v>
      </c>
      <c r="G54" s="149">
        <v>811620.15</v>
      </c>
      <c r="H54" s="149">
        <v>1350156.69</v>
      </c>
      <c r="I54" s="149">
        <v>893828</v>
      </c>
      <c r="J54" s="149">
        <v>1167284.1299999999</v>
      </c>
      <c r="K54" s="149">
        <v>1142910.19</v>
      </c>
      <c r="L54" s="149">
        <v>728110.89</v>
      </c>
      <c r="M54" s="149">
        <v>1016441.12</v>
      </c>
      <c r="N54" s="89">
        <f t="shared" si="11"/>
        <v>11337282.379999999</v>
      </c>
    </row>
    <row r="55" spans="1:14" s="90" customFormat="1" ht="8.1" customHeigh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112"/>
      <c r="K55" s="84"/>
      <c r="L55" s="84"/>
      <c r="M55" s="84"/>
      <c r="N55" s="89"/>
    </row>
    <row r="56" spans="1:14" s="90" customFormat="1" ht="14.1" customHeight="1" x14ac:dyDescent="0.25">
      <c r="A56" s="78" t="s">
        <v>191</v>
      </c>
      <c r="B56" s="79">
        <f t="shared" ref="B56:N56" si="12">SUM(B57:B71)</f>
        <v>65884986.310000002</v>
      </c>
      <c r="C56" s="79">
        <f t="shared" si="12"/>
        <v>69637387.789999992</v>
      </c>
      <c r="D56" s="79">
        <f t="shared" si="12"/>
        <v>62659042.300000004</v>
      </c>
      <c r="E56" s="79">
        <f t="shared" si="12"/>
        <v>65587782.130000003</v>
      </c>
      <c r="F56" s="79">
        <f t="shared" si="12"/>
        <v>66063352.539999999</v>
      </c>
      <c r="G56" s="79">
        <f t="shared" si="12"/>
        <v>69787768.010000005</v>
      </c>
      <c r="H56" s="79">
        <f t="shared" si="12"/>
        <v>67848744.929999992</v>
      </c>
      <c r="I56" s="79">
        <f t="shared" si="12"/>
        <v>75885924.329999998</v>
      </c>
      <c r="J56" s="79">
        <f t="shared" si="12"/>
        <v>73937629.569999993</v>
      </c>
      <c r="K56" s="79">
        <f t="shared" si="12"/>
        <v>73987190.219999999</v>
      </c>
      <c r="L56" s="79">
        <f t="shared" si="12"/>
        <v>74082963.859999999</v>
      </c>
      <c r="M56" s="79">
        <f t="shared" si="12"/>
        <v>80914565.049999982</v>
      </c>
      <c r="N56" s="99">
        <f t="shared" si="12"/>
        <v>846274392.30000007</v>
      </c>
    </row>
    <row r="57" spans="1:14" s="90" customFormat="1" ht="14.1" customHeight="1" x14ac:dyDescent="0.25">
      <c r="A57" s="83" t="s">
        <v>224</v>
      </c>
      <c r="B57" s="149">
        <v>3009837.11</v>
      </c>
      <c r="C57" s="149">
        <v>2691648.28</v>
      </c>
      <c r="D57" s="149">
        <f>2608915.59-59732.01</f>
        <v>2549183.58</v>
      </c>
      <c r="E57" s="149">
        <f>3152542.75-145265.12</f>
        <v>3007277.63</v>
      </c>
      <c r="F57" s="149">
        <v>3011468.47</v>
      </c>
      <c r="G57" s="149">
        <v>2431029.67</v>
      </c>
      <c r="H57" s="149">
        <v>3899307.11</v>
      </c>
      <c r="I57" s="149">
        <v>3055289.93</v>
      </c>
      <c r="J57" s="149">
        <v>3386106.32</v>
      </c>
      <c r="K57" s="149">
        <v>3936300.57</v>
      </c>
      <c r="L57" s="149">
        <v>4119052.1</v>
      </c>
      <c r="M57" s="149">
        <v>4818363.42</v>
      </c>
      <c r="N57" s="89">
        <f>SUM(B57:M57)</f>
        <v>39914864.190000005</v>
      </c>
    </row>
    <row r="58" spans="1:14" s="90" customFormat="1" ht="14.1" customHeight="1" x14ac:dyDescent="0.25">
      <c r="A58" s="83" t="s">
        <v>225</v>
      </c>
      <c r="B58" s="149">
        <v>765795.18</v>
      </c>
      <c r="C58" s="149">
        <v>786242.32</v>
      </c>
      <c r="D58" s="149">
        <v>782173.24</v>
      </c>
      <c r="E58" s="149">
        <v>807030.28</v>
      </c>
      <c r="F58" s="149">
        <v>786971.91</v>
      </c>
      <c r="G58" s="149">
        <v>765976.86</v>
      </c>
      <c r="H58" s="149">
        <v>773647.66</v>
      </c>
      <c r="I58" s="149">
        <v>780364.02</v>
      </c>
      <c r="J58" s="149">
        <v>784985.08</v>
      </c>
      <c r="K58" s="149">
        <v>710152.47</v>
      </c>
      <c r="L58" s="149">
        <v>554264.66</v>
      </c>
      <c r="M58" s="149">
        <v>509340.32</v>
      </c>
      <c r="N58" s="89">
        <f t="shared" ref="N58:N68" si="13">SUM(B58:M58)</f>
        <v>8806944</v>
      </c>
    </row>
    <row r="59" spans="1:14" s="90" customFormat="1" ht="14.1" customHeight="1" x14ac:dyDescent="0.25">
      <c r="A59" s="83" t="s">
        <v>226</v>
      </c>
      <c r="B59" s="149">
        <v>39792020.850000001</v>
      </c>
      <c r="C59" s="149">
        <v>39648921.439999998</v>
      </c>
      <c r="D59" s="149">
        <v>35049153.649999999</v>
      </c>
      <c r="E59" s="149">
        <v>37207143.350000001</v>
      </c>
      <c r="F59" s="149">
        <v>38182912.43</v>
      </c>
      <c r="G59" s="149">
        <v>37506550.009999998</v>
      </c>
      <c r="H59" s="149">
        <v>37365470.299999997</v>
      </c>
      <c r="I59" s="149">
        <v>43450862.840000004</v>
      </c>
      <c r="J59" s="149">
        <f>42090889.68-38820.62</f>
        <v>42052069.060000002</v>
      </c>
      <c r="K59" s="149">
        <f>40142890.33-36477.73</f>
        <v>40106412.600000001</v>
      </c>
      <c r="L59" s="149">
        <v>41988677.890000001</v>
      </c>
      <c r="M59" s="149">
        <v>42105223.939999998</v>
      </c>
      <c r="N59" s="89">
        <f>SUM(B59:M59)</f>
        <v>474455418.36000001</v>
      </c>
    </row>
    <row r="60" spans="1:14" s="90" customFormat="1" ht="14.1" customHeight="1" x14ac:dyDescent="0.25">
      <c r="A60" s="83" t="s">
        <v>227</v>
      </c>
      <c r="B60" s="149">
        <v>727617.43</v>
      </c>
      <c r="C60" s="149">
        <v>834300.61</v>
      </c>
      <c r="D60" s="149">
        <v>375791.43</v>
      </c>
      <c r="E60" s="149">
        <v>448648.67</v>
      </c>
      <c r="F60" s="149">
        <v>360561.73</v>
      </c>
      <c r="G60" s="149">
        <v>265436.17</v>
      </c>
      <c r="H60" s="149">
        <v>390487.14</v>
      </c>
      <c r="I60" s="149">
        <v>290348.94</v>
      </c>
      <c r="J60" s="149">
        <v>358116.33</v>
      </c>
      <c r="K60" s="149">
        <v>512280.85</v>
      </c>
      <c r="L60" s="149">
        <v>732300.15</v>
      </c>
      <c r="M60" s="149">
        <v>925746.44</v>
      </c>
      <c r="N60" s="89">
        <f t="shared" si="13"/>
        <v>6221635.8900000006</v>
      </c>
    </row>
    <row r="61" spans="1:14" s="90" customFormat="1" ht="14.1" customHeight="1" x14ac:dyDescent="0.25">
      <c r="A61" s="83" t="s">
        <v>228</v>
      </c>
      <c r="B61" s="149">
        <v>98320.46</v>
      </c>
      <c r="C61" s="149">
        <v>23329.88</v>
      </c>
      <c r="D61" s="149">
        <v>32031.74</v>
      </c>
      <c r="E61" s="149">
        <v>66012.69</v>
      </c>
      <c r="F61" s="149">
        <v>302227</v>
      </c>
      <c r="G61" s="149">
        <v>110894.26</v>
      </c>
      <c r="H61" s="149">
        <v>71378.720000000001</v>
      </c>
      <c r="I61" s="149">
        <v>147297.76999999999</v>
      </c>
      <c r="J61" s="149">
        <v>103383.87</v>
      </c>
      <c r="K61" s="149">
        <v>241247.78</v>
      </c>
      <c r="L61" s="149">
        <v>37323.56</v>
      </c>
      <c r="M61" s="149">
        <v>136866.78</v>
      </c>
      <c r="N61" s="89">
        <f>SUM(B61:M61)</f>
        <v>1370314.51</v>
      </c>
    </row>
    <row r="62" spans="1:14" s="90" customFormat="1" ht="14.1" customHeight="1" x14ac:dyDescent="0.25">
      <c r="A62" s="83" t="s">
        <v>229</v>
      </c>
      <c r="B62" s="149">
        <v>58668.32</v>
      </c>
      <c r="C62" s="149">
        <v>73164.259999999995</v>
      </c>
      <c r="D62" s="149">
        <v>61314.11</v>
      </c>
      <c r="E62" s="149">
        <v>136634.31</v>
      </c>
      <c r="F62" s="149">
        <v>36988.36</v>
      </c>
      <c r="G62" s="149">
        <v>174831.43</v>
      </c>
      <c r="H62" s="149">
        <v>47403.19</v>
      </c>
      <c r="I62" s="149">
        <v>107839.62</v>
      </c>
      <c r="J62" s="149">
        <v>34726.19</v>
      </c>
      <c r="K62" s="149">
        <v>81805.179999999993</v>
      </c>
      <c r="L62" s="149">
        <v>36311.29</v>
      </c>
      <c r="M62" s="149">
        <v>100175.35</v>
      </c>
      <c r="N62" s="89">
        <f t="shared" si="13"/>
        <v>949861.61</v>
      </c>
    </row>
    <row r="63" spans="1:14" s="90" customFormat="1" ht="14.1" customHeight="1" x14ac:dyDescent="0.25">
      <c r="A63" s="83" t="s">
        <v>199</v>
      </c>
      <c r="B63" s="84">
        <v>0</v>
      </c>
      <c r="C63" s="84">
        <v>0</v>
      </c>
      <c r="D63" s="84">
        <v>0</v>
      </c>
      <c r="E63" s="149">
        <v>0</v>
      </c>
      <c r="F63" s="149">
        <v>0</v>
      </c>
      <c r="G63" s="149">
        <v>100</v>
      </c>
      <c r="H63" s="149">
        <v>0</v>
      </c>
      <c r="I63" s="149">
        <v>0</v>
      </c>
      <c r="J63" s="149">
        <v>0</v>
      </c>
      <c r="K63" s="149">
        <v>0</v>
      </c>
      <c r="L63" s="149">
        <v>2844.74</v>
      </c>
      <c r="M63" s="149">
        <v>0</v>
      </c>
      <c r="N63" s="149">
        <v>0</v>
      </c>
    </row>
    <row r="64" spans="1:14" s="90" customFormat="1" ht="14.1" customHeight="1" x14ac:dyDescent="0.25">
      <c r="A64" s="83" t="s">
        <v>231</v>
      </c>
      <c r="B64" s="149">
        <v>673125.82</v>
      </c>
      <c r="C64" s="149">
        <v>714831.99</v>
      </c>
      <c r="D64" s="149">
        <v>792869.93</v>
      </c>
      <c r="E64" s="149">
        <v>1039380.13</v>
      </c>
      <c r="F64" s="149">
        <v>923129.36</v>
      </c>
      <c r="G64" s="149">
        <v>767004.81</v>
      </c>
      <c r="H64" s="149">
        <v>1069359.1200000001</v>
      </c>
      <c r="I64" s="149">
        <v>942470.26</v>
      </c>
      <c r="J64" s="149">
        <v>934844.22</v>
      </c>
      <c r="K64" s="149">
        <v>1147826.26</v>
      </c>
      <c r="L64" s="149">
        <v>952360.69</v>
      </c>
      <c r="M64" s="149">
        <v>1379635.78</v>
      </c>
      <c r="N64" s="89">
        <f>SUM(B64:M64)</f>
        <v>11336838.369999999</v>
      </c>
    </row>
    <row r="65" spans="1:14" s="90" customFormat="1" ht="14.1" customHeight="1" x14ac:dyDescent="0.25">
      <c r="A65" s="83" t="s">
        <v>232</v>
      </c>
      <c r="B65" s="149">
        <v>83746.8</v>
      </c>
      <c r="C65" s="149">
        <v>89121.99</v>
      </c>
      <c r="D65" s="149">
        <f>116220.13+9668.58</f>
        <v>125888.71</v>
      </c>
      <c r="E65" s="149">
        <v>106885.78</v>
      </c>
      <c r="F65" s="149">
        <v>115637.04</v>
      </c>
      <c r="G65" s="149">
        <v>84223.61</v>
      </c>
      <c r="H65" s="149">
        <v>113684.53</v>
      </c>
      <c r="I65" s="149">
        <v>91037.04</v>
      </c>
      <c r="J65" s="149">
        <v>126585.12</v>
      </c>
      <c r="K65" s="149">
        <v>95771.77</v>
      </c>
      <c r="L65" s="149">
        <v>141899.70000000001</v>
      </c>
      <c r="M65" s="149">
        <v>58359.75</v>
      </c>
      <c r="N65" s="89">
        <f>SUM(B65:M65)</f>
        <v>1232841.8400000001</v>
      </c>
    </row>
    <row r="66" spans="1:14" s="90" customFormat="1" ht="13.5" customHeight="1" x14ac:dyDescent="0.25">
      <c r="A66" s="83" t="s">
        <v>233</v>
      </c>
      <c r="B66" s="149">
        <v>0</v>
      </c>
      <c r="C66" s="149">
        <v>0</v>
      </c>
      <c r="D66" s="149">
        <v>100</v>
      </c>
      <c r="E66" s="149">
        <v>0</v>
      </c>
      <c r="F66" s="149">
        <v>0</v>
      </c>
      <c r="G66" s="149">
        <v>12044</v>
      </c>
      <c r="H66" s="149">
        <v>0</v>
      </c>
      <c r="I66" s="149">
        <v>0</v>
      </c>
      <c r="J66" s="149">
        <v>0</v>
      </c>
      <c r="K66" s="149">
        <v>0</v>
      </c>
      <c r="L66" s="149">
        <v>44854</v>
      </c>
      <c r="M66" s="149">
        <v>0</v>
      </c>
      <c r="N66" s="89">
        <f>SUM(B66:M66)</f>
        <v>56998</v>
      </c>
    </row>
    <row r="67" spans="1:14" s="90" customFormat="1" ht="14.1" customHeight="1" x14ac:dyDescent="0.25">
      <c r="A67" s="83" t="s">
        <v>234</v>
      </c>
      <c r="B67" s="149">
        <v>14539248</v>
      </c>
      <c r="C67" s="149">
        <v>16001278.99</v>
      </c>
      <c r="D67" s="149">
        <v>16874020.829999998</v>
      </c>
      <c r="E67" s="149">
        <v>15661493.939999999</v>
      </c>
      <c r="F67" s="149">
        <v>15229866.539999999</v>
      </c>
      <c r="G67" s="149">
        <v>20380471.239999998</v>
      </c>
      <c r="H67" s="149">
        <v>16392581.310000001</v>
      </c>
      <c r="I67" s="149">
        <v>18287384.640000001</v>
      </c>
      <c r="J67" s="149">
        <v>17077396.050000001</v>
      </c>
      <c r="K67" s="149">
        <v>17570198.440000001</v>
      </c>
      <c r="L67" s="149">
        <v>15840572.4</v>
      </c>
      <c r="M67" s="149">
        <v>20480023.329999998</v>
      </c>
      <c r="N67" s="89">
        <f t="shared" si="13"/>
        <v>204334535.70999998</v>
      </c>
    </row>
    <row r="68" spans="1:14" s="90" customFormat="1" ht="14.1" customHeight="1" x14ac:dyDescent="0.25">
      <c r="A68" s="83" t="s">
        <v>235</v>
      </c>
      <c r="B68" s="149">
        <v>1019186.57</v>
      </c>
      <c r="C68" s="149">
        <v>1632181.76</v>
      </c>
      <c r="D68" s="149">
        <v>1386835.89</v>
      </c>
      <c r="E68" s="149">
        <v>936541.87</v>
      </c>
      <c r="F68" s="149">
        <v>1299333.75</v>
      </c>
      <c r="G68" s="149">
        <v>1130082.58</v>
      </c>
      <c r="H68" s="149">
        <v>1033296.75</v>
      </c>
      <c r="I68" s="149">
        <v>1149529.98</v>
      </c>
      <c r="J68" s="149">
        <v>1108070.1000000001</v>
      </c>
      <c r="K68" s="149">
        <v>1430537.76</v>
      </c>
      <c r="L68" s="149">
        <v>1471351.15</v>
      </c>
      <c r="M68" s="149">
        <v>1444462.99</v>
      </c>
      <c r="N68" s="89">
        <f t="shared" si="13"/>
        <v>15041411.15</v>
      </c>
    </row>
    <row r="69" spans="1:14" s="90" customFormat="1" ht="14.1" customHeight="1" x14ac:dyDescent="0.25">
      <c r="A69" s="83" t="s">
        <v>236</v>
      </c>
      <c r="B69" s="149">
        <v>4684272.8899999997</v>
      </c>
      <c r="C69" s="149">
        <v>6498423.7000000002</v>
      </c>
      <c r="D69" s="149">
        <v>4281803.09</v>
      </c>
      <c r="E69" s="149">
        <v>5934827.2999999998</v>
      </c>
      <c r="F69" s="149">
        <v>5595849.1799999997</v>
      </c>
      <c r="G69" s="149">
        <v>5980285.75</v>
      </c>
      <c r="H69" s="149">
        <v>6419084.2199999997</v>
      </c>
      <c r="I69" s="149">
        <v>7204273.4400000004</v>
      </c>
      <c r="J69" s="149">
        <v>7832542.7599999998</v>
      </c>
      <c r="K69" s="149">
        <v>7672083.8399999999</v>
      </c>
      <c r="L69" s="149">
        <v>7922874.3499999996</v>
      </c>
      <c r="M69" s="149">
        <v>8576108.2899999991</v>
      </c>
      <c r="N69" s="89">
        <f>SUM(B69:M69)</f>
        <v>78602428.810000002</v>
      </c>
    </row>
    <row r="70" spans="1:14" s="90" customFormat="1" ht="14.1" customHeight="1" x14ac:dyDescent="0.25">
      <c r="A70" s="83" t="s">
        <v>237</v>
      </c>
      <c r="B70" s="149">
        <v>361752.13</v>
      </c>
      <c r="C70" s="149">
        <v>560410.56999999995</v>
      </c>
      <c r="D70" s="149">
        <v>301451.09999999998</v>
      </c>
      <c r="E70" s="149">
        <v>174022.18</v>
      </c>
      <c r="F70" s="149">
        <v>159200.26999999999</v>
      </c>
      <c r="G70" s="149">
        <v>114520.62</v>
      </c>
      <c r="H70" s="149">
        <v>234500.88</v>
      </c>
      <c r="I70" s="149">
        <v>346185.35</v>
      </c>
      <c r="J70" s="149">
        <v>109382.72</v>
      </c>
      <c r="K70" s="149">
        <v>439549.7</v>
      </c>
      <c r="L70" s="149">
        <v>187544.18</v>
      </c>
      <c r="M70" s="149">
        <v>323769.40999999997</v>
      </c>
      <c r="N70" s="89">
        <f>SUM(B70:M70)</f>
        <v>3312289.1100000003</v>
      </c>
    </row>
    <row r="71" spans="1:14" s="90" customFormat="1" ht="14.1" customHeight="1" x14ac:dyDescent="0.25">
      <c r="A71" s="83" t="s">
        <v>242</v>
      </c>
      <c r="B71" s="154">
        <v>71394.75</v>
      </c>
      <c r="C71" s="149">
        <v>83532</v>
      </c>
      <c r="D71" s="149">
        <v>46425</v>
      </c>
      <c r="E71" s="149">
        <v>61884</v>
      </c>
      <c r="F71" s="149">
        <v>59206.5</v>
      </c>
      <c r="G71" s="149">
        <v>64317</v>
      </c>
      <c r="H71" s="149">
        <v>38544</v>
      </c>
      <c r="I71" s="149">
        <v>33040.5</v>
      </c>
      <c r="J71" s="149">
        <v>29421.75</v>
      </c>
      <c r="K71" s="149">
        <v>43023</v>
      </c>
      <c r="L71" s="149">
        <v>50733</v>
      </c>
      <c r="M71" s="149">
        <v>56489.25</v>
      </c>
      <c r="N71" s="89">
        <f>SUM(B71:M71)</f>
        <v>638010.75</v>
      </c>
    </row>
    <row r="72" spans="1:14" s="90" customFormat="1" ht="8.1" customHeight="1" x14ac:dyDescent="0.25">
      <c r="A72" s="113"/>
      <c r="B72" s="84"/>
      <c r="C72" s="84"/>
      <c r="D72" s="84"/>
      <c r="E72" s="84"/>
      <c r="F72" s="84"/>
      <c r="G72" s="84"/>
      <c r="H72" s="84"/>
      <c r="I72" s="84"/>
      <c r="J72" s="112"/>
      <c r="K72" s="84"/>
      <c r="L72" s="84"/>
      <c r="M72" s="84"/>
      <c r="N72" s="89"/>
    </row>
    <row r="73" spans="1:14" s="90" customFormat="1" ht="14.1" customHeight="1" x14ac:dyDescent="0.25">
      <c r="A73" s="162" t="s">
        <v>200</v>
      </c>
      <c r="B73" s="79">
        <f t="shared" ref="B73:M73" si="14">B74+B75</f>
        <v>3223063.46</v>
      </c>
      <c r="C73" s="79">
        <f t="shared" si="14"/>
        <v>3821232.61</v>
      </c>
      <c r="D73" s="79">
        <f t="shared" si="14"/>
        <v>3687672.2199999997</v>
      </c>
      <c r="E73" s="79">
        <f>E74+E75</f>
        <v>3751207.3899999997</v>
      </c>
      <c r="F73" s="79">
        <f t="shared" si="14"/>
        <v>3703543.69</v>
      </c>
      <c r="G73" s="79">
        <f>G74+G75</f>
        <v>3699733.77</v>
      </c>
      <c r="H73" s="79">
        <f t="shared" si="14"/>
        <v>3686918.82</v>
      </c>
      <c r="I73" s="79">
        <f t="shared" si="14"/>
        <v>3667597.99</v>
      </c>
      <c r="J73" s="79">
        <f t="shared" si="14"/>
        <v>3645847.67</v>
      </c>
      <c r="K73" s="79">
        <f t="shared" si="14"/>
        <v>3622834.8899999997</v>
      </c>
      <c r="L73" s="79">
        <f t="shared" si="14"/>
        <v>3659032.4299999997</v>
      </c>
      <c r="M73" s="79">
        <f t="shared" si="14"/>
        <v>4062745.02</v>
      </c>
      <c r="N73" s="91">
        <f>N74+N75</f>
        <v>44231429.960000008</v>
      </c>
    </row>
    <row r="74" spans="1:14" s="90" customFormat="1" ht="14.1" customHeight="1" x14ac:dyDescent="0.25">
      <c r="A74" s="83" t="s">
        <v>196</v>
      </c>
      <c r="B74" s="154">
        <v>2870685.44</v>
      </c>
      <c r="C74" s="154">
        <v>2870685.44</v>
      </c>
      <c r="D74" s="154">
        <v>2870685.44</v>
      </c>
      <c r="E74" s="149">
        <v>2870685.44</v>
      </c>
      <c r="F74" s="148">
        <v>2870685.44</v>
      </c>
      <c r="G74" s="148">
        <v>2870685.44</v>
      </c>
      <c r="H74" s="154">
        <v>2870685.44</v>
      </c>
      <c r="I74" s="154">
        <v>2870685.44</v>
      </c>
      <c r="J74" s="154">
        <v>2870685.44</v>
      </c>
      <c r="K74" s="154">
        <v>2870685.44</v>
      </c>
      <c r="L74" s="154">
        <v>2870685.44</v>
      </c>
      <c r="M74" s="84">
        <v>3305962.68</v>
      </c>
      <c r="N74" s="89">
        <f>SUM(B74:M74)</f>
        <v>34883502.520000011</v>
      </c>
    </row>
    <row r="75" spans="1:14" s="90" customFormat="1" ht="14.1" customHeight="1" x14ac:dyDescent="0.25">
      <c r="A75" s="114" t="s">
        <v>201</v>
      </c>
      <c r="B75" s="154">
        <v>352378.02</v>
      </c>
      <c r="C75" s="154">
        <v>950547.17</v>
      </c>
      <c r="D75" s="154">
        <v>816986.78</v>
      </c>
      <c r="E75" s="149">
        <v>880521.95</v>
      </c>
      <c r="F75" s="148">
        <v>832858.25</v>
      </c>
      <c r="G75" s="148">
        <v>829048.33</v>
      </c>
      <c r="H75" s="154">
        <v>816233.38</v>
      </c>
      <c r="I75" s="154">
        <v>796912.55</v>
      </c>
      <c r="J75" s="154">
        <v>775162.23</v>
      </c>
      <c r="K75" s="154">
        <v>752149.45</v>
      </c>
      <c r="L75" s="154">
        <v>788346.99</v>
      </c>
      <c r="M75" s="84">
        <v>756782.34</v>
      </c>
      <c r="N75" s="89">
        <f>SUM(B75:M75)</f>
        <v>9347927.4399999995</v>
      </c>
    </row>
    <row r="76" spans="1:14" s="90" customFormat="1" ht="8.1" customHeight="1" x14ac:dyDescent="0.25">
      <c r="A76" s="114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6"/>
    </row>
    <row r="77" spans="1:14" s="90" customFormat="1" ht="14.1" customHeight="1" x14ac:dyDescent="0.25">
      <c r="A77" s="111" t="s">
        <v>192</v>
      </c>
      <c r="B77" s="79">
        <f>SUM(B78:B81)</f>
        <v>14447003.199999999</v>
      </c>
      <c r="C77" s="79">
        <f t="shared" ref="C77:M77" si="15">SUM(C78:C81)</f>
        <v>14485044.52</v>
      </c>
      <c r="D77" s="79">
        <f t="shared" si="15"/>
        <v>14601428.360000001</v>
      </c>
      <c r="E77" s="79">
        <f>SUM(E78:E81)</f>
        <v>14689934.589999998</v>
      </c>
      <c r="F77" s="79">
        <f t="shared" si="15"/>
        <v>14759020.779999999</v>
      </c>
      <c r="G77" s="79">
        <f>SUM(G78:G81)</f>
        <v>14822433.359999999</v>
      </c>
      <c r="H77" s="79">
        <f t="shared" si="15"/>
        <v>14888667.48</v>
      </c>
      <c r="I77" s="79">
        <f t="shared" si="15"/>
        <v>15013517.810000001</v>
      </c>
      <c r="J77" s="79">
        <f t="shared" si="15"/>
        <v>15084789</v>
      </c>
      <c r="K77" s="79">
        <f t="shared" si="15"/>
        <v>15352777.369999999</v>
      </c>
      <c r="L77" s="79">
        <f t="shared" si="15"/>
        <v>15477602.170000002</v>
      </c>
      <c r="M77" s="79">
        <f t="shared" si="15"/>
        <v>15637003.409999998</v>
      </c>
      <c r="N77" s="99">
        <f>SUM(N78:N81)</f>
        <v>179259222.05000001</v>
      </c>
    </row>
    <row r="78" spans="1:14" s="90" customFormat="1" ht="14.1" customHeight="1" x14ac:dyDescent="0.25">
      <c r="A78" s="113" t="s">
        <v>239</v>
      </c>
      <c r="B78" s="149">
        <v>14748357.609999999</v>
      </c>
      <c r="C78" s="154">
        <v>14790771.07</v>
      </c>
      <c r="D78" s="149">
        <v>14909063.050000001</v>
      </c>
      <c r="E78" s="149">
        <v>14994679.5</v>
      </c>
      <c r="F78" s="148">
        <v>15062899.51</v>
      </c>
      <c r="G78" s="148">
        <v>15127977.35</v>
      </c>
      <c r="H78" s="149">
        <v>15197917.220000001</v>
      </c>
      <c r="I78" s="149">
        <v>15320123.15</v>
      </c>
      <c r="J78" s="149">
        <v>15391398.82</v>
      </c>
      <c r="K78" s="149">
        <v>15615454.1</v>
      </c>
      <c r="L78" s="149">
        <v>15728849.550000001</v>
      </c>
      <c r="M78" s="149">
        <v>15855371.619999999</v>
      </c>
      <c r="N78" s="89">
        <f>SUM(B78:M78)</f>
        <v>182742862.55000001</v>
      </c>
    </row>
    <row r="79" spans="1:14" s="90" customFormat="1" ht="14.1" customHeight="1" x14ac:dyDescent="0.25">
      <c r="A79" s="113" t="s">
        <v>238</v>
      </c>
      <c r="B79" s="149">
        <v>850674.67</v>
      </c>
      <c r="C79" s="154">
        <v>898520.32</v>
      </c>
      <c r="D79" s="149">
        <v>915696.47</v>
      </c>
      <c r="E79" s="149">
        <v>909645.77</v>
      </c>
      <c r="F79" s="148">
        <v>908626.58</v>
      </c>
      <c r="G79" s="148">
        <v>906881.78</v>
      </c>
      <c r="H79" s="149">
        <v>925768.82</v>
      </c>
      <c r="I79" s="149">
        <v>926354.23</v>
      </c>
      <c r="J79" s="149">
        <v>936633.81</v>
      </c>
      <c r="K79" s="149">
        <v>956670.99</v>
      </c>
      <c r="L79" s="149">
        <v>970883.64</v>
      </c>
      <c r="M79" s="149">
        <v>788214.85</v>
      </c>
      <c r="N79" s="89">
        <f>SUM(B79:M79)</f>
        <v>10894571.930000002</v>
      </c>
    </row>
    <row r="80" spans="1:14" s="90" customFormat="1" ht="14.1" customHeight="1" x14ac:dyDescent="0.25">
      <c r="A80" s="114" t="s">
        <v>193</v>
      </c>
      <c r="B80" s="81">
        <v>-353570.38</v>
      </c>
      <c r="C80" s="81">
        <v>-353570.38</v>
      </c>
      <c r="D80" s="81">
        <v>-353570.38</v>
      </c>
      <c r="E80" s="81">
        <v>-353570.38</v>
      </c>
      <c r="F80" s="81">
        <v>-353570.38</v>
      </c>
      <c r="G80" s="81">
        <v>-353553.32</v>
      </c>
      <c r="H80" s="81">
        <v>-353553.32</v>
      </c>
      <c r="I80" s="81">
        <v>-353553.32</v>
      </c>
      <c r="J80" s="81">
        <v>-353553.32</v>
      </c>
      <c r="K80" s="81">
        <v>-353351.25</v>
      </c>
      <c r="L80" s="81">
        <v>-353351.25</v>
      </c>
      <c r="M80" s="81">
        <v>-353351.25</v>
      </c>
      <c r="N80" s="98">
        <f>SUM(B80:M80)</f>
        <v>-4242118.93</v>
      </c>
    </row>
    <row r="81" spans="1:14" s="90" customFormat="1" ht="14.1" customHeight="1" x14ac:dyDescent="0.25">
      <c r="A81" s="114" t="s">
        <v>202</v>
      </c>
      <c r="B81" s="81">
        <f>-48286.87-750171.83</f>
        <v>-798458.7</v>
      </c>
      <c r="C81" s="81">
        <v>-850676.49</v>
      </c>
      <c r="D81" s="81">
        <v>-869760.78</v>
      </c>
      <c r="E81" s="81">
        <v>-860820.3</v>
      </c>
      <c r="F81" s="81">
        <v>-858934.93</v>
      </c>
      <c r="G81" s="81">
        <v>-858872.45</v>
      </c>
      <c r="H81" s="81">
        <v>-881465.24</v>
      </c>
      <c r="I81" s="81">
        <v>-879406.25</v>
      </c>
      <c r="J81" s="81">
        <v>-889690.31</v>
      </c>
      <c r="K81" s="81">
        <v>-865996.47</v>
      </c>
      <c r="L81" s="81">
        <v>-868779.77</v>
      </c>
      <c r="M81" s="81">
        <v>-653231.81000000006</v>
      </c>
      <c r="N81" s="98">
        <f>SUM(B81:M81)</f>
        <v>-10136093.5</v>
      </c>
    </row>
    <row r="82" spans="1:14" s="90" customFormat="1" ht="8.1" customHeight="1" x14ac:dyDescent="0.25">
      <c r="A82" s="11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6"/>
    </row>
    <row r="83" spans="1:14" s="90" customFormat="1" ht="15.75" thickBot="1" x14ac:dyDescent="0.3">
      <c r="A83" s="100" t="s">
        <v>194</v>
      </c>
      <c r="B83" s="101">
        <f t="shared" ref="B83:M83" si="16">B56+B41+B77+B73</f>
        <v>97340812.890000001</v>
      </c>
      <c r="C83" s="101">
        <f t="shared" si="16"/>
        <v>101232783.40999998</v>
      </c>
      <c r="D83" s="101">
        <f t="shared" si="16"/>
        <v>93300924.63000001</v>
      </c>
      <c r="E83" s="101">
        <f>E56+E41+E77+E73</f>
        <v>100228947.26000001</v>
      </c>
      <c r="F83" s="101">
        <f t="shared" si="16"/>
        <v>99582747.920000002</v>
      </c>
      <c r="G83" s="101">
        <f t="shared" si="16"/>
        <v>99554933.909999996</v>
      </c>
      <c r="H83" s="101">
        <f t="shared" si="16"/>
        <v>104185001.72999999</v>
      </c>
      <c r="I83" s="101">
        <f t="shared" si="16"/>
        <v>110687249.92</v>
      </c>
      <c r="J83" s="101">
        <f t="shared" si="16"/>
        <v>108769197.97999999</v>
      </c>
      <c r="K83" s="101">
        <f t="shared" si="16"/>
        <v>111332020.08</v>
      </c>
      <c r="L83" s="101">
        <f t="shared" si="16"/>
        <v>112824498</v>
      </c>
      <c r="M83" s="101">
        <f t="shared" si="16"/>
        <v>119515814.96999998</v>
      </c>
      <c r="N83" s="102">
        <f>N56+N41+N77+N73</f>
        <v>1258551987.96</v>
      </c>
    </row>
    <row r="84" spans="1:14" s="90" customFormat="1" ht="9.9499999999999993" customHeight="1" thickTop="1" x14ac:dyDescent="0.25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17"/>
    </row>
    <row r="85" spans="1:14" s="77" customFormat="1" ht="27" customHeight="1" thickBot="1" x14ac:dyDescent="0.3">
      <c r="A85" s="217" t="s">
        <v>154</v>
      </c>
      <c r="B85" s="219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1"/>
    </row>
    <row r="86" spans="1:14" s="77" customFormat="1" ht="15" customHeight="1" thickTop="1" x14ac:dyDescent="0.25">
      <c r="A86" s="218"/>
      <c r="B86" s="3" t="s">
        <v>88</v>
      </c>
      <c r="C86" s="3" t="s">
        <v>89</v>
      </c>
      <c r="D86" s="3" t="s">
        <v>90</v>
      </c>
      <c r="E86" s="3" t="s">
        <v>91</v>
      </c>
      <c r="F86" s="3" t="s">
        <v>92</v>
      </c>
      <c r="G86" s="3" t="s">
        <v>93</v>
      </c>
      <c r="H86" s="3" t="s">
        <v>94</v>
      </c>
      <c r="I86" s="3" t="s">
        <v>95</v>
      </c>
      <c r="J86" s="3" t="s">
        <v>96</v>
      </c>
      <c r="K86" s="3" t="s">
        <v>97</v>
      </c>
      <c r="L86" s="3" t="s">
        <v>98</v>
      </c>
      <c r="M86" s="3" t="s">
        <v>99</v>
      </c>
      <c r="N86" s="3" t="s">
        <v>12</v>
      </c>
    </row>
    <row r="87" spans="1:14" s="77" customFormat="1" ht="14.1" customHeight="1" x14ac:dyDescent="0.25">
      <c r="A87" s="83" t="s">
        <v>120</v>
      </c>
      <c r="B87" s="84">
        <f t="shared" ref="B87:M87" si="17">ROUND((B27*0.076),2)</f>
        <v>31992558.170000002</v>
      </c>
      <c r="C87" s="84">
        <f t="shared" si="17"/>
        <v>28211996.109999999</v>
      </c>
      <c r="D87" s="84">
        <f t="shared" si="17"/>
        <v>29570760.48</v>
      </c>
      <c r="E87" s="84">
        <f t="shared" si="17"/>
        <v>28882547.16</v>
      </c>
      <c r="F87" s="84">
        <f t="shared" si="17"/>
        <v>30331495.579999998</v>
      </c>
      <c r="G87" s="84">
        <f t="shared" si="17"/>
        <v>30571532.57</v>
      </c>
      <c r="H87" s="84">
        <f t="shared" si="17"/>
        <v>32026671.809999999</v>
      </c>
      <c r="I87" s="84">
        <f t="shared" si="17"/>
        <v>32304439.829999998</v>
      </c>
      <c r="J87" s="84">
        <f t="shared" si="17"/>
        <v>32468614.670000002</v>
      </c>
      <c r="K87" s="84">
        <f t="shared" si="17"/>
        <v>33930320.229999997</v>
      </c>
      <c r="L87" s="84">
        <f t="shared" si="17"/>
        <v>34871034.130000003</v>
      </c>
      <c r="M87" s="84">
        <f t="shared" si="17"/>
        <v>40808484.039999999</v>
      </c>
      <c r="N87" s="89">
        <f>SUM(B87:M87)</f>
        <v>385970454.78000003</v>
      </c>
    </row>
    <row r="88" spans="1:14" s="77" customFormat="1" ht="14.1" customHeight="1" x14ac:dyDescent="0.25">
      <c r="A88" s="83" t="s">
        <v>121</v>
      </c>
      <c r="B88" s="81">
        <f t="shared" ref="B88:H88" si="18">-ROUND((B83*0.076),2)</f>
        <v>-7397901.7800000003</v>
      </c>
      <c r="C88" s="81">
        <f t="shared" si="18"/>
        <v>-7693691.54</v>
      </c>
      <c r="D88" s="81">
        <f t="shared" si="18"/>
        <v>-7090870.2699999996</v>
      </c>
      <c r="E88" s="81">
        <f t="shared" si="18"/>
        <v>-7617399.9900000002</v>
      </c>
      <c r="F88" s="81">
        <f t="shared" si="18"/>
        <v>-7568288.8399999999</v>
      </c>
      <c r="G88" s="81">
        <f t="shared" si="18"/>
        <v>-7566174.9800000004</v>
      </c>
      <c r="H88" s="81">
        <f t="shared" si="18"/>
        <v>-7918060.1299999999</v>
      </c>
      <c r="I88" s="81">
        <f>-ROUND((I83*0.076),2)</f>
        <v>-8412230.9900000002</v>
      </c>
      <c r="J88" s="81">
        <f>-ROUND((J83*0.076),2)</f>
        <v>-8266459.0499999998</v>
      </c>
      <c r="K88" s="81">
        <f>-ROUND((K83*0.076),2)</f>
        <v>-8461233.5299999993</v>
      </c>
      <c r="L88" s="81">
        <f>-ROUND((L83*0.076),2)</f>
        <v>-8574661.8499999996</v>
      </c>
      <c r="M88" s="81">
        <f>-ROUND((M83*0.076),2)</f>
        <v>-9083201.9399999995</v>
      </c>
      <c r="N88" s="98">
        <f>SUM(B88:M88)</f>
        <v>-95650174.890000001</v>
      </c>
    </row>
    <row r="89" spans="1:14" s="90" customFormat="1" ht="7.5" customHeight="1" x14ac:dyDescent="0.25">
      <c r="A89" s="78"/>
      <c r="B89" s="84"/>
      <c r="C89" s="84"/>
      <c r="D89" s="84"/>
      <c r="E89" s="84"/>
      <c r="F89" s="84"/>
      <c r="G89" s="84"/>
      <c r="H89" s="79"/>
      <c r="I89" s="79"/>
      <c r="J89" s="79"/>
      <c r="K89" s="79"/>
      <c r="L89" s="79"/>
      <c r="M89" s="79"/>
      <c r="N89" s="91"/>
    </row>
    <row r="90" spans="1:14" s="90" customFormat="1" ht="14.1" customHeight="1" x14ac:dyDescent="0.25">
      <c r="A90" s="78" t="s">
        <v>122</v>
      </c>
      <c r="B90" s="93">
        <f>SUM(B87:B89)</f>
        <v>24594656.390000001</v>
      </c>
      <c r="C90" s="79">
        <f t="shared" ref="C90:M90" si="19">SUM(C87:C89)</f>
        <v>20518304.57</v>
      </c>
      <c r="D90" s="79">
        <f>SUM(D87:D89)</f>
        <v>22479890.210000001</v>
      </c>
      <c r="E90" s="79">
        <f>SUM(E87:E89)</f>
        <v>21265147.170000002</v>
      </c>
      <c r="F90" s="79">
        <f t="shared" si="19"/>
        <v>22763206.739999998</v>
      </c>
      <c r="G90" s="79">
        <f t="shared" si="19"/>
        <v>23005357.59</v>
      </c>
      <c r="H90" s="79">
        <f t="shared" si="19"/>
        <v>24108611.68</v>
      </c>
      <c r="I90" s="79">
        <f t="shared" si="19"/>
        <v>23892208.839999996</v>
      </c>
      <c r="J90" s="79">
        <f>SUM(J87:J89)</f>
        <v>24202155.620000001</v>
      </c>
      <c r="K90" s="79">
        <f t="shared" si="19"/>
        <v>25469086.699999996</v>
      </c>
      <c r="L90" s="79">
        <f t="shared" si="19"/>
        <v>26296372.280000001</v>
      </c>
      <c r="M90" s="79">
        <f t="shared" si="19"/>
        <v>31725282.100000001</v>
      </c>
      <c r="N90" s="99">
        <f>SUM(N87:N89)</f>
        <v>290320279.89000005</v>
      </c>
    </row>
    <row r="91" spans="1:14" s="90" customFormat="1" ht="8.1" customHeight="1" x14ac:dyDescent="0.25">
      <c r="A91" s="78"/>
      <c r="B91" s="84"/>
      <c r="C91" s="84"/>
      <c r="D91" s="84"/>
      <c r="E91" s="84"/>
      <c r="F91" s="84"/>
      <c r="G91" s="84"/>
      <c r="H91" s="79"/>
      <c r="I91" s="79"/>
      <c r="J91" s="79"/>
      <c r="K91" s="79"/>
      <c r="L91" s="79"/>
      <c r="M91" s="79"/>
      <c r="N91" s="91"/>
    </row>
    <row r="92" spans="1:14" s="77" customFormat="1" ht="14.1" customHeight="1" x14ac:dyDescent="0.25">
      <c r="A92" s="83" t="s">
        <v>123</v>
      </c>
      <c r="B92" s="84">
        <f t="shared" ref="B92:M92" si="20">ROUND((B36*0.04),2)</f>
        <v>109609.23</v>
      </c>
      <c r="C92" s="84">
        <f t="shared" si="20"/>
        <v>116832.85</v>
      </c>
      <c r="D92" s="84">
        <f t="shared" si="20"/>
        <v>122114.67</v>
      </c>
      <c r="E92" s="84">
        <f t="shared" si="20"/>
        <v>147019.07999999999</v>
      </c>
      <c r="F92" s="84">
        <f t="shared" si="20"/>
        <v>162747.32999999999</v>
      </c>
      <c r="G92" s="84">
        <f t="shared" si="20"/>
        <v>158705.42000000001</v>
      </c>
      <c r="H92" s="84">
        <f t="shared" si="20"/>
        <v>161974.01</v>
      </c>
      <c r="I92" s="84">
        <f t="shared" si="20"/>
        <v>128914.88</v>
      </c>
      <c r="J92" s="84">
        <f t="shared" si="20"/>
        <v>127831.79</v>
      </c>
      <c r="K92" s="84">
        <f t="shared" si="20"/>
        <v>137769.07999999999</v>
      </c>
      <c r="L92" s="84">
        <f t="shared" si="20"/>
        <v>168086.97</v>
      </c>
      <c r="M92" s="84">
        <f t="shared" si="20"/>
        <v>136384.29</v>
      </c>
      <c r="N92" s="89">
        <f>SUM(B92:M92)</f>
        <v>1677989.6</v>
      </c>
    </row>
    <row r="93" spans="1:14" s="90" customFormat="1" ht="14.1" customHeight="1" x14ac:dyDescent="0.25">
      <c r="A93" s="78" t="s">
        <v>124</v>
      </c>
      <c r="B93" s="79">
        <f>B92</f>
        <v>109609.23</v>
      </c>
      <c r="C93" s="79">
        <f t="shared" ref="C93:M93" si="21">C92</f>
        <v>116832.85</v>
      </c>
      <c r="D93" s="79">
        <f t="shared" si="21"/>
        <v>122114.67</v>
      </c>
      <c r="E93" s="79">
        <f>E92</f>
        <v>147019.07999999999</v>
      </c>
      <c r="F93" s="79">
        <f t="shared" si="21"/>
        <v>162747.32999999999</v>
      </c>
      <c r="G93" s="79">
        <f t="shared" si="21"/>
        <v>158705.42000000001</v>
      </c>
      <c r="H93" s="79">
        <f t="shared" si="21"/>
        <v>161974.01</v>
      </c>
      <c r="I93" s="79">
        <f t="shared" si="21"/>
        <v>128914.88</v>
      </c>
      <c r="J93" s="79">
        <f t="shared" si="21"/>
        <v>127831.79</v>
      </c>
      <c r="K93" s="79">
        <f t="shared" si="21"/>
        <v>137769.07999999999</v>
      </c>
      <c r="L93" s="79">
        <f t="shared" si="21"/>
        <v>168086.97</v>
      </c>
      <c r="M93" s="79">
        <f t="shared" si="21"/>
        <v>136384.29</v>
      </c>
      <c r="N93" s="91">
        <f>SUM(B93:M93)</f>
        <v>1677989.6</v>
      </c>
    </row>
    <row r="94" spans="1:14" s="90" customFormat="1" ht="8.1" customHeight="1" x14ac:dyDescent="0.25">
      <c r="A94" s="78"/>
      <c r="B94" s="84"/>
      <c r="C94" s="84"/>
      <c r="D94" s="84"/>
      <c r="E94" s="84"/>
      <c r="F94" s="84"/>
      <c r="G94" s="84"/>
      <c r="H94" s="79"/>
      <c r="I94" s="79"/>
      <c r="J94" s="79"/>
      <c r="K94" s="79"/>
      <c r="L94" s="79"/>
      <c r="M94" s="79"/>
      <c r="N94" s="91"/>
    </row>
    <row r="95" spans="1:14" s="90" customFormat="1" ht="14.1" customHeight="1" x14ac:dyDescent="0.25">
      <c r="A95" s="78" t="s">
        <v>125</v>
      </c>
      <c r="B95" s="163">
        <f>B90+B93</f>
        <v>24704265.620000001</v>
      </c>
      <c r="C95" s="118">
        <f t="shared" ref="C95:M95" si="22">C90+C93</f>
        <v>20635137.420000002</v>
      </c>
      <c r="D95" s="118">
        <f t="shared" si="22"/>
        <v>22602004.880000003</v>
      </c>
      <c r="E95" s="118">
        <f>E90+E93</f>
        <v>21412166.25</v>
      </c>
      <c r="F95" s="118">
        <f t="shared" si="22"/>
        <v>22925954.069999997</v>
      </c>
      <c r="G95" s="118">
        <f t="shared" si="22"/>
        <v>23164063.010000002</v>
      </c>
      <c r="H95" s="118">
        <f t="shared" si="22"/>
        <v>24270585.690000001</v>
      </c>
      <c r="I95" s="118">
        <f t="shared" si="22"/>
        <v>24021123.719999995</v>
      </c>
      <c r="J95" s="118">
        <f>J90+J93</f>
        <v>24329987.41</v>
      </c>
      <c r="K95" s="118">
        <f t="shared" si="22"/>
        <v>25606855.779999994</v>
      </c>
      <c r="L95" s="118">
        <f t="shared" si="22"/>
        <v>26464459.25</v>
      </c>
      <c r="M95" s="118">
        <f t="shared" si="22"/>
        <v>31861666.390000001</v>
      </c>
      <c r="N95" s="119">
        <f>SUM(B95:M95)</f>
        <v>291998269.49000001</v>
      </c>
    </row>
    <row r="96" spans="1:14" s="90" customFormat="1" ht="8.1" customHeight="1" x14ac:dyDescent="0.25">
      <c r="A96" s="78"/>
      <c r="B96" s="84"/>
      <c r="C96" s="84"/>
      <c r="D96" s="84"/>
      <c r="E96" s="84"/>
      <c r="F96" s="84"/>
      <c r="G96" s="93"/>
      <c r="H96" s="79"/>
      <c r="I96" s="79"/>
      <c r="J96" s="79"/>
      <c r="K96" s="93"/>
      <c r="L96" s="79"/>
      <c r="M96" s="79"/>
      <c r="N96" s="120"/>
    </row>
    <row r="97" spans="1:14" s="90" customFormat="1" ht="14.1" customHeight="1" x14ac:dyDescent="0.25">
      <c r="A97" s="78" t="s">
        <v>126</v>
      </c>
      <c r="B97" s="93">
        <v>-35224.519999999997</v>
      </c>
      <c r="C97" s="93">
        <v>-43248.65</v>
      </c>
      <c r="D97" s="93">
        <v>-42925.78</v>
      </c>
      <c r="E97" s="93">
        <v>-47117.71</v>
      </c>
      <c r="F97" s="93">
        <v>-43782.75</v>
      </c>
      <c r="G97" s="93">
        <v>-35748.42</v>
      </c>
      <c r="H97" s="93">
        <v>-45273.93</v>
      </c>
      <c r="I97" s="93">
        <v>-66753.960000000006</v>
      </c>
      <c r="J97" s="93">
        <v>-42346.62</v>
      </c>
      <c r="K97" s="93">
        <v>-58881.78</v>
      </c>
      <c r="L97" s="93">
        <v>-46902.38</v>
      </c>
      <c r="M97" s="93">
        <v>-69833.59</v>
      </c>
      <c r="N97" s="93">
        <f>SUM(B97:M97)</f>
        <v>-578040.09</v>
      </c>
    </row>
    <row r="98" spans="1:14" s="90" customFormat="1" ht="14.1" customHeight="1" x14ac:dyDescent="0.25">
      <c r="A98" s="78" t="s">
        <v>127</v>
      </c>
      <c r="B98" s="79">
        <v>0</v>
      </c>
      <c r="C98" s="79">
        <v>0</v>
      </c>
      <c r="D98" s="93">
        <v>-9024.57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93">
        <v>-4512.29</v>
      </c>
      <c r="K98" s="79">
        <v>0</v>
      </c>
      <c r="L98" s="79">
        <v>0</v>
      </c>
      <c r="M98" s="79">
        <v>0</v>
      </c>
      <c r="N98" s="164">
        <f>SUM(B98:M98)</f>
        <v>-13536.86</v>
      </c>
    </row>
    <row r="99" spans="1:14" s="90" customFormat="1" ht="8.1" customHeight="1" x14ac:dyDescent="0.25">
      <c r="A99" s="78"/>
      <c r="B99" s="84"/>
      <c r="C99" s="84"/>
      <c r="D99" s="84"/>
      <c r="E99" s="84"/>
      <c r="F99" s="84"/>
      <c r="G99" s="84"/>
      <c r="H99" s="80"/>
      <c r="I99" s="80"/>
      <c r="J99" s="80"/>
      <c r="K99" s="80"/>
      <c r="L99" s="80"/>
      <c r="M99" s="80"/>
      <c r="N99" s="120"/>
    </row>
    <row r="100" spans="1:14" s="77" customFormat="1" ht="14.1" customHeight="1" x14ac:dyDescent="0.25">
      <c r="A100" s="78" t="s">
        <v>128</v>
      </c>
      <c r="B100" s="163">
        <f>B95+B97</f>
        <v>24669041.100000001</v>
      </c>
      <c r="C100" s="118">
        <f t="shared" ref="C100:M100" si="23">C95+C97</f>
        <v>20591888.770000003</v>
      </c>
      <c r="D100" s="118">
        <f>D95+D97+D98</f>
        <v>22550054.530000001</v>
      </c>
      <c r="E100" s="118">
        <f>E95+E97</f>
        <v>21365048.539999999</v>
      </c>
      <c r="F100" s="118">
        <f t="shared" si="23"/>
        <v>22882171.319999997</v>
      </c>
      <c r="G100" s="118">
        <f t="shared" si="23"/>
        <v>23128314.59</v>
      </c>
      <c r="H100" s="118">
        <f t="shared" si="23"/>
        <v>24225311.760000002</v>
      </c>
      <c r="I100" s="118">
        <f t="shared" si="23"/>
        <v>23954369.759999994</v>
      </c>
      <c r="J100" s="118">
        <f>J95+J97+J98</f>
        <v>24283128.5</v>
      </c>
      <c r="K100" s="118">
        <f t="shared" si="23"/>
        <v>25547973.999999993</v>
      </c>
      <c r="L100" s="118">
        <f t="shared" si="23"/>
        <v>26417556.870000001</v>
      </c>
      <c r="M100" s="118">
        <f t="shared" si="23"/>
        <v>31791832.800000001</v>
      </c>
      <c r="N100" s="119">
        <f>SUM(B100:M100)</f>
        <v>291406692.53999996</v>
      </c>
    </row>
    <row r="101" spans="1:14" s="77" customFormat="1" ht="8.1" customHeight="1" x14ac:dyDescent="0.25">
      <c r="A101" s="78"/>
      <c r="B101" s="84"/>
      <c r="C101" s="84"/>
      <c r="D101" s="84"/>
      <c r="E101" s="84"/>
      <c r="F101" s="84"/>
      <c r="G101" s="84"/>
      <c r="H101" s="79"/>
      <c r="I101" s="79"/>
      <c r="J101" s="79"/>
      <c r="K101" s="79"/>
      <c r="L101" s="79"/>
      <c r="M101" s="79"/>
      <c r="N101" s="91"/>
    </row>
    <row r="102" spans="1:14" s="77" customFormat="1" ht="14.1" customHeight="1" x14ac:dyDescent="0.25">
      <c r="A102" s="78" t="s">
        <v>129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93">
        <v>-15427413.57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91">
        <f>SUM(B102:M102)</f>
        <v>-15427413.57</v>
      </c>
    </row>
    <row r="103" spans="1:14" s="77" customFormat="1" ht="8.1" customHeight="1" thickBot="1" x14ac:dyDescent="0.3">
      <c r="A103" s="78"/>
      <c r="B103" s="121"/>
      <c r="C103" s="121"/>
      <c r="D103" s="121"/>
      <c r="E103" s="121"/>
      <c r="F103" s="121"/>
      <c r="G103" s="121"/>
      <c r="H103" s="79"/>
      <c r="I103" s="79"/>
      <c r="J103" s="79"/>
      <c r="K103" s="79"/>
      <c r="L103" s="79"/>
      <c r="M103" s="79"/>
      <c r="N103" s="91"/>
    </row>
    <row r="104" spans="1:14" s="77" customFormat="1" ht="16.5" thickTop="1" thickBot="1" x14ac:dyDescent="0.3">
      <c r="A104" s="100" t="s">
        <v>130</v>
      </c>
      <c r="B104" s="165">
        <f>+B100+B102</f>
        <v>24669041.100000001</v>
      </c>
      <c r="C104" s="101">
        <f t="shared" ref="C104:M104" si="24">+C100+C102</f>
        <v>20591888.770000003</v>
      </c>
      <c r="D104" s="101">
        <f>+D100+D102</f>
        <v>22550054.530000001</v>
      </c>
      <c r="E104" s="101">
        <f>+E100+E102</f>
        <v>21365048.539999999</v>
      </c>
      <c r="F104" s="101">
        <f t="shared" si="24"/>
        <v>22882171.319999997</v>
      </c>
      <c r="G104" s="101">
        <f t="shared" si="24"/>
        <v>23128314.59</v>
      </c>
      <c r="H104" s="101">
        <f t="shared" si="24"/>
        <v>8797898.1900000013</v>
      </c>
      <c r="I104" s="101">
        <f t="shared" si="24"/>
        <v>23954369.759999994</v>
      </c>
      <c r="J104" s="101">
        <f>+J100+J102</f>
        <v>24283128.5</v>
      </c>
      <c r="K104" s="101">
        <f t="shared" si="24"/>
        <v>25547973.999999993</v>
      </c>
      <c r="L104" s="101">
        <f t="shared" si="24"/>
        <v>26417556.870000001</v>
      </c>
      <c r="M104" s="101">
        <f t="shared" si="24"/>
        <v>31791832.800000001</v>
      </c>
      <c r="N104" s="102">
        <f>N100+N102</f>
        <v>275979278.96999997</v>
      </c>
    </row>
    <row r="105" spans="1:14" s="77" customFormat="1" ht="9.9499999999999993" customHeight="1" thickTop="1" x14ac:dyDescent="0.25">
      <c r="A105" s="90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22"/>
      <c r="M105" s="122"/>
      <c r="N105" s="117"/>
    </row>
    <row r="106" spans="1:14" s="123" customFormat="1" ht="27" customHeight="1" thickBot="1" x14ac:dyDescent="0.3">
      <c r="A106" s="217" t="s">
        <v>155</v>
      </c>
      <c r="B106" s="219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1"/>
    </row>
    <row r="107" spans="1:14" s="77" customFormat="1" ht="15" customHeight="1" thickTop="1" x14ac:dyDescent="0.25">
      <c r="A107" s="218"/>
      <c r="B107" s="3" t="s">
        <v>88</v>
      </c>
      <c r="C107" s="3" t="s">
        <v>89</v>
      </c>
      <c r="D107" s="3" t="s">
        <v>90</v>
      </c>
      <c r="E107" s="3" t="s">
        <v>91</v>
      </c>
      <c r="F107" s="3" t="s">
        <v>92</v>
      </c>
      <c r="G107" s="3" t="s">
        <v>93</v>
      </c>
      <c r="H107" s="3" t="s">
        <v>94</v>
      </c>
      <c r="I107" s="3" t="s">
        <v>95</v>
      </c>
      <c r="J107" s="3" t="s">
        <v>96</v>
      </c>
      <c r="K107" s="3" t="s">
        <v>97</v>
      </c>
      <c r="L107" s="3" t="s">
        <v>98</v>
      </c>
      <c r="M107" s="3" t="s">
        <v>99</v>
      </c>
      <c r="N107" s="3" t="s">
        <v>12</v>
      </c>
    </row>
    <row r="108" spans="1:14" s="77" customFormat="1" ht="14.1" customHeight="1" x14ac:dyDescent="0.25">
      <c r="A108" s="113" t="s">
        <v>132</v>
      </c>
      <c r="B108" s="84">
        <f t="shared" ref="B108:M108" si="25">ROUND((B27*0.0165),2)</f>
        <v>6945752.7599999998</v>
      </c>
      <c r="C108" s="84">
        <f t="shared" si="25"/>
        <v>6124972.8399999999</v>
      </c>
      <c r="D108" s="84">
        <f t="shared" si="25"/>
        <v>6419967.7400000002</v>
      </c>
      <c r="E108" s="84">
        <f t="shared" si="25"/>
        <v>6270553</v>
      </c>
      <c r="F108" s="84">
        <f t="shared" si="25"/>
        <v>6585127.3300000001</v>
      </c>
      <c r="G108" s="84">
        <f t="shared" si="25"/>
        <v>6637240.6200000001</v>
      </c>
      <c r="H108" s="84">
        <f t="shared" si="25"/>
        <v>6953159.0099999998</v>
      </c>
      <c r="I108" s="84">
        <f t="shared" si="25"/>
        <v>7013463.9100000001</v>
      </c>
      <c r="J108" s="84">
        <f t="shared" si="25"/>
        <v>7049107.1299999999</v>
      </c>
      <c r="K108" s="84">
        <f>ROUND((K27*0.0165),2)</f>
        <v>7366451.0999999996</v>
      </c>
      <c r="L108" s="84">
        <f t="shared" si="25"/>
        <v>7570685.04</v>
      </c>
      <c r="M108" s="84">
        <f t="shared" si="25"/>
        <v>8859736.6699999999</v>
      </c>
      <c r="N108" s="89">
        <f>SUM(B108:M108)</f>
        <v>83796217.150000006</v>
      </c>
    </row>
    <row r="109" spans="1:14" s="77" customFormat="1" ht="14.1" customHeight="1" x14ac:dyDescent="0.25">
      <c r="A109" s="83" t="s">
        <v>133</v>
      </c>
      <c r="B109" s="81">
        <f>-ROUND(B83*0.0165,2)</f>
        <v>-1606123.41</v>
      </c>
      <c r="C109" s="81">
        <f>-ROUND(C83*0.0165,2)</f>
        <v>-1670340.93</v>
      </c>
      <c r="D109" s="81">
        <f t="shared" ref="D109:M109" si="26">-ROUND((D83*0.0165),2)</f>
        <v>-1539465.26</v>
      </c>
      <c r="E109" s="81">
        <f t="shared" si="26"/>
        <v>-1653777.63</v>
      </c>
      <c r="F109" s="81">
        <f t="shared" si="26"/>
        <v>-1643115.34</v>
      </c>
      <c r="G109" s="81">
        <f t="shared" si="26"/>
        <v>-1642656.41</v>
      </c>
      <c r="H109" s="81">
        <f t="shared" si="26"/>
        <v>-1719052.53</v>
      </c>
      <c r="I109" s="81">
        <f t="shared" si="26"/>
        <v>-1826339.62</v>
      </c>
      <c r="J109" s="81">
        <f t="shared" si="26"/>
        <v>-1794691.77</v>
      </c>
      <c r="K109" s="81">
        <f>-ROUND((K83*0.0165),2)</f>
        <v>-1836978.33</v>
      </c>
      <c r="L109" s="81">
        <f>-ROUND((L83*0.0165),2)</f>
        <v>-1861604.22</v>
      </c>
      <c r="M109" s="81">
        <f t="shared" si="26"/>
        <v>-1972010.95</v>
      </c>
      <c r="N109" s="98">
        <f>SUM(B109:M109)</f>
        <v>-20766156.399999995</v>
      </c>
    </row>
    <row r="110" spans="1:14" s="77" customFormat="1" ht="8.1" customHeight="1" x14ac:dyDescent="0.25">
      <c r="A110" s="111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91"/>
    </row>
    <row r="111" spans="1:14" s="90" customFormat="1" ht="14.1" customHeight="1" x14ac:dyDescent="0.25">
      <c r="A111" s="111" t="s">
        <v>134</v>
      </c>
      <c r="B111" s="93">
        <f>SUM(B108:B110)</f>
        <v>5339629.3499999996</v>
      </c>
      <c r="C111" s="79">
        <f t="shared" ref="C111:N111" si="27">SUM(C108:C110)</f>
        <v>4454631.91</v>
      </c>
      <c r="D111" s="79">
        <f t="shared" si="27"/>
        <v>4880502.4800000004</v>
      </c>
      <c r="E111" s="79">
        <f>SUM(E108:E110)</f>
        <v>4616775.37</v>
      </c>
      <c r="F111" s="79">
        <f t="shared" si="27"/>
        <v>4942011.99</v>
      </c>
      <c r="G111" s="79">
        <f t="shared" si="27"/>
        <v>4994584.21</v>
      </c>
      <c r="H111" s="79">
        <f t="shared" si="27"/>
        <v>5234106.4799999995</v>
      </c>
      <c r="I111" s="79">
        <f t="shared" si="27"/>
        <v>5187124.29</v>
      </c>
      <c r="J111" s="79">
        <f>SUM(J108:J110)</f>
        <v>5254415.3599999994</v>
      </c>
      <c r="K111" s="79">
        <f t="shared" si="27"/>
        <v>5529472.7699999996</v>
      </c>
      <c r="L111" s="79">
        <f t="shared" si="27"/>
        <v>5709080.8200000003</v>
      </c>
      <c r="M111" s="79">
        <f t="shared" si="27"/>
        <v>6887725.7199999997</v>
      </c>
      <c r="N111" s="99">
        <f t="shared" si="27"/>
        <v>63030060.750000015</v>
      </c>
    </row>
    <row r="112" spans="1:14" s="77" customFormat="1" ht="8.1" customHeight="1" x14ac:dyDescent="0.25">
      <c r="A112" s="111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91"/>
    </row>
    <row r="113" spans="1:14" s="77" customFormat="1" ht="14.1" customHeight="1" x14ac:dyDescent="0.25">
      <c r="A113" s="113" t="s">
        <v>135</v>
      </c>
      <c r="B113" s="84">
        <f t="shared" ref="B113:M113" si="28">ROUND((B36*0.0065),2)</f>
        <v>17811.5</v>
      </c>
      <c r="C113" s="84">
        <f t="shared" si="28"/>
        <v>18985.34</v>
      </c>
      <c r="D113" s="84">
        <f t="shared" si="28"/>
        <v>19843.63</v>
      </c>
      <c r="E113" s="84">
        <f t="shared" si="28"/>
        <v>23890.6</v>
      </c>
      <c r="F113" s="84">
        <f t="shared" si="28"/>
        <v>26446.44</v>
      </c>
      <c r="G113" s="84">
        <f t="shared" si="28"/>
        <v>25789.63</v>
      </c>
      <c r="H113" s="84">
        <f t="shared" si="28"/>
        <v>26320.78</v>
      </c>
      <c r="I113" s="84">
        <f t="shared" si="28"/>
        <v>20948.669999999998</v>
      </c>
      <c r="J113" s="84">
        <f t="shared" si="28"/>
        <v>20772.669999999998</v>
      </c>
      <c r="K113" s="84">
        <f t="shared" si="28"/>
        <v>22387.48</v>
      </c>
      <c r="L113" s="84">
        <f t="shared" si="28"/>
        <v>27314.13</v>
      </c>
      <c r="M113" s="84">
        <f t="shared" si="28"/>
        <v>22162.45</v>
      </c>
      <c r="N113" s="89">
        <f>SUM(B113:M113)</f>
        <v>272673.32</v>
      </c>
    </row>
    <row r="114" spans="1:14" s="77" customFormat="1" ht="14.1" customHeight="1" x14ac:dyDescent="0.25">
      <c r="A114" s="111" t="s">
        <v>136</v>
      </c>
      <c r="B114" s="79">
        <f>B113</f>
        <v>17811.5</v>
      </c>
      <c r="C114" s="79">
        <f t="shared" ref="C114:N114" si="29">C113</f>
        <v>18985.34</v>
      </c>
      <c r="D114" s="79">
        <f t="shared" si="29"/>
        <v>19843.63</v>
      </c>
      <c r="E114" s="79">
        <f>E113</f>
        <v>23890.6</v>
      </c>
      <c r="F114" s="79">
        <f t="shared" si="29"/>
        <v>26446.44</v>
      </c>
      <c r="G114" s="79">
        <f t="shared" si="29"/>
        <v>25789.63</v>
      </c>
      <c r="H114" s="79">
        <f t="shared" si="29"/>
        <v>26320.78</v>
      </c>
      <c r="I114" s="79">
        <f t="shared" si="29"/>
        <v>20948.669999999998</v>
      </c>
      <c r="J114" s="79">
        <f t="shared" si="29"/>
        <v>20772.669999999998</v>
      </c>
      <c r="K114" s="79">
        <f t="shared" si="29"/>
        <v>22387.48</v>
      </c>
      <c r="L114" s="79">
        <f t="shared" si="29"/>
        <v>27314.13</v>
      </c>
      <c r="M114" s="79">
        <f t="shared" si="29"/>
        <v>22162.45</v>
      </c>
      <c r="N114" s="99">
        <f t="shared" si="29"/>
        <v>272673.32</v>
      </c>
    </row>
    <row r="115" spans="1:14" s="77" customFormat="1" ht="8.1" customHeight="1" x14ac:dyDescent="0.25">
      <c r="A115" s="111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91"/>
    </row>
    <row r="116" spans="1:14" s="77" customFormat="1" ht="14.1" customHeight="1" x14ac:dyDescent="0.25">
      <c r="A116" s="78" t="s">
        <v>137</v>
      </c>
      <c r="B116" s="163">
        <f>B111+B114</f>
        <v>5357440.8499999996</v>
      </c>
      <c r="C116" s="118">
        <f t="shared" ref="C116:M116" si="30">C111+C114</f>
        <v>4473617.25</v>
      </c>
      <c r="D116" s="118">
        <f t="shared" si="30"/>
        <v>4900346.1100000003</v>
      </c>
      <c r="E116" s="118">
        <f>E111+E114</f>
        <v>4640665.97</v>
      </c>
      <c r="F116" s="118">
        <f t="shared" si="30"/>
        <v>4968458.4300000006</v>
      </c>
      <c r="G116" s="118">
        <f t="shared" si="30"/>
        <v>5020373.84</v>
      </c>
      <c r="H116" s="118">
        <f t="shared" si="30"/>
        <v>5260427.26</v>
      </c>
      <c r="I116" s="118">
        <f t="shared" si="30"/>
        <v>5208072.96</v>
      </c>
      <c r="J116" s="118">
        <f>J111+J114</f>
        <v>5275188.0299999993</v>
      </c>
      <c r="K116" s="118">
        <f t="shared" si="30"/>
        <v>5551860.25</v>
      </c>
      <c r="L116" s="118">
        <f t="shared" si="30"/>
        <v>5736394.9500000002</v>
      </c>
      <c r="M116" s="118">
        <f t="shared" si="30"/>
        <v>6909888.1699999999</v>
      </c>
      <c r="N116" s="119">
        <f>N111+N114</f>
        <v>63302734.070000015</v>
      </c>
    </row>
    <row r="117" spans="1:14" s="77" customFormat="1" ht="8.1" customHeight="1" x14ac:dyDescent="0.25">
      <c r="A117" s="78"/>
      <c r="B117" s="79"/>
      <c r="C117" s="79"/>
      <c r="D117" s="79"/>
      <c r="E117" s="79"/>
      <c r="F117" s="79"/>
      <c r="G117" s="79"/>
      <c r="H117" s="80"/>
      <c r="I117" s="80"/>
      <c r="J117" s="80"/>
      <c r="K117" s="93"/>
      <c r="L117" s="80"/>
      <c r="M117" s="80"/>
      <c r="N117" s="91"/>
    </row>
    <row r="118" spans="1:14" s="77" customFormat="1" ht="14.1" customHeight="1" x14ac:dyDescent="0.25">
      <c r="A118" s="78" t="s">
        <v>126</v>
      </c>
      <c r="B118" s="93">
        <v>-7632.07</v>
      </c>
      <c r="C118" s="93">
        <v>-9370.43</v>
      </c>
      <c r="D118" s="93">
        <v>-9300.58</v>
      </c>
      <c r="E118" s="93">
        <v>-10208.82</v>
      </c>
      <c r="F118" s="93">
        <v>-9486.23</v>
      </c>
      <c r="G118" s="93">
        <v>-7745.47</v>
      </c>
      <c r="H118" s="93">
        <v>-9809.32</v>
      </c>
      <c r="I118" s="93">
        <v>-14463.37</v>
      </c>
      <c r="J118" s="93">
        <v>-9175.11</v>
      </c>
      <c r="K118" s="93">
        <v>-12757.86</v>
      </c>
      <c r="L118" s="93">
        <v>-10162.219999999999</v>
      </c>
      <c r="M118" s="93">
        <v>-15130.67</v>
      </c>
      <c r="N118" s="164">
        <f>SUM(B118:M118)</f>
        <v>-125242.15000000001</v>
      </c>
    </row>
    <row r="119" spans="1:14" s="77" customFormat="1" ht="14.1" customHeight="1" x14ac:dyDescent="0.25">
      <c r="A119" s="111" t="s">
        <v>127</v>
      </c>
      <c r="B119" s="79">
        <v>0</v>
      </c>
      <c r="C119" s="79">
        <v>0</v>
      </c>
      <c r="D119" s="93">
        <v>-1955.32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93">
        <v>-977.66</v>
      </c>
      <c r="K119" s="79">
        <v>0</v>
      </c>
      <c r="L119" s="79">
        <v>0</v>
      </c>
      <c r="M119" s="79">
        <v>0</v>
      </c>
      <c r="N119" s="164">
        <f>SUM(B119:M119)</f>
        <v>-2932.98</v>
      </c>
    </row>
    <row r="120" spans="1:14" s="77" customFormat="1" ht="8.1" customHeight="1" x14ac:dyDescent="0.25">
      <c r="A120" s="111"/>
      <c r="B120" s="79"/>
      <c r="C120" s="79"/>
      <c r="D120" s="79"/>
      <c r="E120" s="79"/>
      <c r="F120" s="79"/>
      <c r="G120" s="79"/>
      <c r="H120" s="80"/>
      <c r="I120" s="80"/>
      <c r="J120" s="80"/>
      <c r="K120" s="80"/>
      <c r="L120" s="84"/>
      <c r="M120" s="84"/>
      <c r="N120" s="120"/>
    </row>
    <row r="121" spans="1:14" s="77" customFormat="1" ht="14.1" customHeight="1" x14ac:dyDescent="0.25">
      <c r="A121" s="111" t="s">
        <v>138</v>
      </c>
      <c r="B121" s="163">
        <f>B116+B118</f>
        <v>5349808.7799999993</v>
      </c>
      <c r="C121" s="118">
        <f t="shared" ref="C121:M121" si="31">C116+C118</f>
        <v>4464246.82</v>
      </c>
      <c r="D121" s="118">
        <f>D116+D118+D119</f>
        <v>4889090.21</v>
      </c>
      <c r="E121" s="118">
        <f>E116+E118</f>
        <v>4630457.1499999994</v>
      </c>
      <c r="F121" s="118">
        <f t="shared" si="31"/>
        <v>4958972.2</v>
      </c>
      <c r="G121" s="118">
        <f t="shared" si="31"/>
        <v>5012628.37</v>
      </c>
      <c r="H121" s="118">
        <f t="shared" si="31"/>
        <v>5250617.9399999995</v>
      </c>
      <c r="I121" s="118">
        <f t="shared" si="31"/>
        <v>5193609.59</v>
      </c>
      <c r="J121" s="118">
        <f>J116+J118+J119</f>
        <v>5265035.2599999988</v>
      </c>
      <c r="K121" s="118">
        <f t="shared" si="31"/>
        <v>5539102.3899999997</v>
      </c>
      <c r="L121" s="118">
        <f t="shared" si="31"/>
        <v>5726232.7300000004</v>
      </c>
      <c r="M121" s="118">
        <f t="shared" si="31"/>
        <v>6894757.5</v>
      </c>
      <c r="N121" s="119">
        <f>SUM(B121:M121)</f>
        <v>63174558.939999998</v>
      </c>
    </row>
    <row r="122" spans="1:14" s="77" customFormat="1" ht="8.1" customHeight="1" x14ac:dyDescent="0.25">
      <c r="A122" s="111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91"/>
    </row>
    <row r="123" spans="1:14" s="77" customFormat="1" ht="14.1" customHeight="1" x14ac:dyDescent="0.25">
      <c r="A123" s="78" t="s">
        <v>129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91">
        <f>SUM(B123:M123)</f>
        <v>0</v>
      </c>
    </row>
    <row r="124" spans="1:14" s="77" customFormat="1" ht="8.1" customHeight="1" x14ac:dyDescent="0.25">
      <c r="A124" s="78"/>
      <c r="B124" s="79"/>
      <c r="C124" s="79"/>
      <c r="D124" s="79"/>
      <c r="E124" s="79"/>
      <c r="F124" s="79"/>
      <c r="G124" s="79"/>
      <c r="H124" s="124"/>
      <c r="I124" s="124"/>
      <c r="J124" s="124"/>
      <c r="K124" s="124"/>
      <c r="L124" s="124"/>
      <c r="M124" s="124"/>
      <c r="N124" s="125"/>
    </row>
    <row r="125" spans="1:14" s="77" customFormat="1" ht="15.75" thickBot="1" x14ac:dyDescent="0.3">
      <c r="A125" s="100" t="s">
        <v>139</v>
      </c>
      <c r="B125" s="165">
        <f>B121+B123</f>
        <v>5349808.7799999993</v>
      </c>
      <c r="C125" s="101">
        <f t="shared" ref="C125:M125" si="32">C121+C123</f>
        <v>4464246.82</v>
      </c>
      <c r="D125" s="101">
        <f t="shared" si="32"/>
        <v>4889090.21</v>
      </c>
      <c r="E125" s="101">
        <f>E121+E123</f>
        <v>4630457.1499999994</v>
      </c>
      <c r="F125" s="101">
        <f t="shared" si="32"/>
        <v>4958972.2</v>
      </c>
      <c r="G125" s="101">
        <f t="shared" si="32"/>
        <v>5012628.37</v>
      </c>
      <c r="H125" s="101">
        <f t="shared" si="32"/>
        <v>5250617.9399999995</v>
      </c>
      <c r="I125" s="101">
        <f t="shared" si="32"/>
        <v>5193609.59</v>
      </c>
      <c r="J125" s="101">
        <f>J121+J123</f>
        <v>5265035.2599999988</v>
      </c>
      <c r="K125" s="101">
        <f t="shared" si="32"/>
        <v>5539102.3899999997</v>
      </c>
      <c r="L125" s="101">
        <f t="shared" si="32"/>
        <v>5726232.7300000004</v>
      </c>
      <c r="M125" s="101">
        <f t="shared" si="32"/>
        <v>6894757.5</v>
      </c>
      <c r="N125" s="102">
        <f>+N121-N123</f>
        <v>63174558.939999998</v>
      </c>
    </row>
    <row r="126" spans="1:14" s="77" customFormat="1" ht="14.1" customHeight="1" thickTop="1" x14ac:dyDescent="0.25">
      <c r="A126" s="90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22"/>
      <c r="M126" s="122"/>
      <c r="N126" s="104"/>
    </row>
    <row r="127" spans="1:14" s="77" customFormat="1" ht="14.1" customHeight="1" x14ac:dyDescent="0.25">
      <c r="A127" s="126" t="s">
        <v>140</v>
      </c>
      <c r="B127" s="127">
        <f>IF((B27)=0,"",SUM(B90-B97-B98)/(B27))</f>
        <v>5.8509573985046213E-2</v>
      </c>
      <c r="C127" s="127">
        <f t="shared" ref="C127:N127" si="33">IF((C27)=0,"",SUM(C90-C97-C98)/(C27))</f>
        <v>5.5390552255706514E-2</v>
      </c>
      <c r="D127" s="127">
        <f t="shared" si="33"/>
        <v>5.7909227046653605E-2</v>
      </c>
      <c r="E127" s="127">
        <f t="shared" si="33"/>
        <v>5.6079961432605796E-2</v>
      </c>
      <c r="F127" s="127">
        <f t="shared" si="33"/>
        <v>5.714624908280188E-2</v>
      </c>
      <c r="G127" s="127">
        <f t="shared" si="33"/>
        <v>5.7279564002531938E-2</v>
      </c>
      <c r="H127" s="127">
        <f t="shared" si="33"/>
        <v>5.7317704355773824E-2</v>
      </c>
      <c r="I127" s="127">
        <f t="shared" si="33"/>
        <v>5.6366282236608459E-2</v>
      </c>
      <c r="J127" s="127">
        <f t="shared" si="33"/>
        <v>5.6760201289963431E-2</v>
      </c>
      <c r="K127" s="127">
        <f t="shared" si="33"/>
        <v>5.7179702153176352E-2</v>
      </c>
      <c r="L127" s="127">
        <f t="shared" si="33"/>
        <v>5.7414095220409724E-2</v>
      </c>
      <c r="M127" s="127">
        <f t="shared" si="33"/>
        <v>5.9213882832656661E-2</v>
      </c>
      <c r="N127" s="127">
        <f t="shared" si="33"/>
        <v>5.7282366684484422E-2</v>
      </c>
    </row>
    <row r="128" spans="1:14" s="77" customFormat="1" ht="6.75" customHeight="1" x14ac:dyDescent="0.25">
      <c r="A128" s="128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9"/>
    </row>
    <row r="129" spans="1:14" s="77" customFormat="1" ht="14.1" customHeight="1" x14ac:dyDescent="0.25">
      <c r="A129" s="126" t="s">
        <v>141</v>
      </c>
      <c r="B129" s="127">
        <f>IF((B27)=0,"",SUM(B111-B118-B119)/(B27))</f>
        <v>1.2702699977077285E-2</v>
      </c>
      <c r="C129" s="127">
        <f t="shared" ref="C129:N129" si="34">IF((C27)=0,"",SUM(C111-C118-C119)/(C27))</f>
        <v>1.2025529017081043E-2</v>
      </c>
      <c r="D129" s="127">
        <f t="shared" si="34"/>
        <v>1.2572339393688238E-2</v>
      </c>
      <c r="E129" s="127">
        <f t="shared" si="34"/>
        <v>1.2175200354608052E-2</v>
      </c>
      <c r="F129" s="127">
        <f t="shared" si="34"/>
        <v>1.2406703249336667E-2</v>
      </c>
      <c r="G129" s="127">
        <f t="shared" si="34"/>
        <v>1.2435655777243008E-2</v>
      </c>
      <c r="H129" s="127">
        <f t="shared" si="34"/>
        <v>1.2443928084454119E-2</v>
      </c>
      <c r="I129" s="127">
        <f t="shared" si="34"/>
        <v>1.2237347691946824E-2</v>
      </c>
      <c r="J129" s="127">
        <f t="shared" si="34"/>
        <v>1.2322890334113976E-2</v>
      </c>
      <c r="K129" s="127">
        <f t="shared" si="34"/>
        <v>1.2413956752410209E-2</v>
      </c>
      <c r="L129" s="127">
        <f t="shared" si="34"/>
        <v>1.2464857491153895E-2</v>
      </c>
      <c r="M129" s="127">
        <f t="shared" si="34"/>
        <v>1.2855588684543494E-2</v>
      </c>
      <c r="N129" s="127">
        <f t="shared" si="34"/>
        <v>1.2436252224718091E-2</v>
      </c>
    </row>
    <row r="130" spans="1:14" s="77" customFormat="1" ht="14.1" customHeight="1" x14ac:dyDescent="0.25">
      <c r="A130" s="128"/>
      <c r="B130" s="128"/>
      <c r="C130" s="128"/>
      <c r="D130" s="128"/>
      <c r="E130" s="128"/>
      <c r="F130" s="128"/>
      <c r="G130" s="128"/>
      <c r="H130" s="127"/>
      <c r="I130" s="128"/>
      <c r="J130" s="128"/>
      <c r="K130" s="128"/>
      <c r="L130" s="81"/>
      <c r="M130" s="81"/>
      <c r="N130" s="130"/>
    </row>
    <row r="131" spans="1:14" s="90" customFormat="1" ht="14.1" customHeight="1" x14ac:dyDescent="0.25">
      <c r="A131" s="131" t="s">
        <v>142</v>
      </c>
      <c r="B131" s="132">
        <f>SUM(B127:B129)</f>
        <v>7.1212273962123498E-2</v>
      </c>
      <c r="C131" s="132">
        <f t="shared" ref="C131:N131" si="35">SUM(C127:C129)</f>
        <v>6.7416081272787559E-2</v>
      </c>
      <c r="D131" s="132">
        <f t="shared" si="35"/>
        <v>7.0481566440341842E-2</v>
      </c>
      <c r="E131" s="132">
        <f t="shared" si="35"/>
        <v>6.8255161787213844E-2</v>
      </c>
      <c r="F131" s="132">
        <f t="shared" si="35"/>
        <v>6.955295233213854E-2</v>
      </c>
      <c r="G131" s="132">
        <f t="shared" si="35"/>
        <v>6.9715219779774948E-2</v>
      </c>
      <c r="H131" s="132">
        <f t="shared" si="35"/>
        <v>6.9761632440227941E-2</v>
      </c>
      <c r="I131" s="132">
        <f t="shared" si="35"/>
        <v>6.8603629928555288E-2</v>
      </c>
      <c r="J131" s="132">
        <f t="shared" si="35"/>
        <v>6.9083091624077414E-2</v>
      </c>
      <c r="K131" s="132">
        <f t="shared" si="35"/>
        <v>6.9593658905586567E-2</v>
      </c>
      <c r="L131" s="132">
        <f t="shared" si="35"/>
        <v>6.9878952711563622E-2</v>
      </c>
      <c r="M131" s="132">
        <f t="shared" si="35"/>
        <v>7.2069471517200154E-2</v>
      </c>
      <c r="N131" s="132">
        <f t="shared" si="35"/>
        <v>6.9718618909202515E-2</v>
      </c>
    </row>
    <row r="132" spans="1:14" s="77" customFormat="1" x14ac:dyDescent="0.25">
      <c r="A132" s="128"/>
      <c r="B132" s="128"/>
      <c r="C132" s="128"/>
      <c r="D132" s="128"/>
      <c r="E132" s="128"/>
      <c r="F132" s="128"/>
      <c r="G132" s="84"/>
      <c r="H132" s="84"/>
      <c r="I132" s="128"/>
      <c r="J132" s="84"/>
      <c r="K132" s="128"/>
      <c r="L132" s="81"/>
      <c r="M132" s="81"/>
      <c r="N132" s="130"/>
    </row>
    <row r="133" spans="1:14" s="77" customFormat="1" x14ac:dyDescent="0.25">
      <c r="A133" s="128" t="s">
        <v>143</v>
      </c>
      <c r="B133" s="133">
        <f>IF((B38)=0,"",SUM(B95)/(B38))</f>
        <v>5.8306727509170125E-2</v>
      </c>
      <c r="C133" s="133">
        <f t="shared" ref="C133:N133" si="36">IF((C38)=0,"",SUM(C95)/(C38))</f>
        <v>5.515480158437891E-2</v>
      </c>
      <c r="D133" s="133">
        <f t="shared" si="36"/>
        <v>5.7637323301173472E-2</v>
      </c>
      <c r="E133" s="133">
        <f t="shared" si="36"/>
        <v>5.5803139040288545E-2</v>
      </c>
      <c r="F133" s="133">
        <f t="shared" si="36"/>
        <v>5.6864615628676889E-2</v>
      </c>
      <c r="G133" s="133">
        <f t="shared" si="36"/>
        <v>5.7022791222316009E-2</v>
      </c>
      <c r="H133" s="133">
        <f t="shared" si="36"/>
        <v>5.7046465478467846E-2</v>
      </c>
      <c r="I133" s="133">
        <f t="shared" si="36"/>
        <v>5.6087259095382258E-2</v>
      </c>
      <c r="J133" s="133">
        <f t="shared" si="36"/>
        <v>5.6526888769738937E-2</v>
      </c>
      <c r="K133" s="133">
        <f t="shared" si="36"/>
        <v>5.6917302352484087E-2</v>
      </c>
      <c r="L133" s="133">
        <f t="shared" si="36"/>
        <v>5.7154762065743901E-2</v>
      </c>
      <c r="M133" s="133">
        <f t="shared" si="36"/>
        <v>5.8963411751235185E-2</v>
      </c>
      <c r="N133" s="133">
        <f t="shared" si="36"/>
        <v>5.7025250079273469E-2</v>
      </c>
    </row>
    <row r="134" spans="1:14" s="77" customFormat="1" ht="6.75" customHeight="1" x14ac:dyDescent="0.25">
      <c r="A134" s="128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9"/>
    </row>
    <row r="135" spans="1:14" s="77" customFormat="1" x14ac:dyDescent="0.25">
      <c r="A135" s="128" t="s">
        <v>144</v>
      </c>
      <c r="B135" s="133">
        <f>IF((B38)=0,"",SUM(B116)/(B38))</f>
        <v>1.2644571127609448E-2</v>
      </c>
      <c r="C135" s="133">
        <f t="shared" ref="C135:N135" si="37">IF((C38)=0,"",SUM(C116)/(C38))</f>
        <v>1.1957345704374029E-2</v>
      </c>
      <c r="D135" s="133">
        <f t="shared" si="37"/>
        <v>1.2496361916975117E-2</v>
      </c>
      <c r="E135" s="133">
        <f t="shared" si="37"/>
        <v>1.209423303274817E-2</v>
      </c>
      <c r="F135" s="133">
        <f t="shared" si="37"/>
        <v>1.2323564726089914E-2</v>
      </c>
      <c r="G135" s="133">
        <f t="shared" si="37"/>
        <v>1.2358614687445408E-2</v>
      </c>
      <c r="H135" s="133">
        <f t="shared" si="37"/>
        <v>1.2364299152995889E-2</v>
      </c>
      <c r="I135" s="133">
        <f t="shared" si="37"/>
        <v>1.2160402689736219E-2</v>
      </c>
      <c r="J135" s="133">
        <f t="shared" si="37"/>
        <v>1.2256067460549015E-2</v>
      </c>
      <c r="K135" s="133">
        <f t="shared" si="37"/>
        <v>1.2340324449938694E-2</v>
      </c>
      <c r="L135" s="133">
        <f t="shared" si="37"/>
        <v>1.2388777166583704E-2</v>
      </c>
      <c r="M135" s="133">
        <f t="shared" si="37"/>
        <v>1.2787485008962804E-2</v>
      </c>
      <c r="N135" s="133">
        <f t="shared" si="37"/>
        <v>1.2362587789812644E-2</v>
      </c>
    </row>
    <row r="136" spans="1:14" s="77" customFormat="1" ht="6" customHeight="1" x14ac:dyDescent="0.25">
      <c r="A136" s="128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81"/>
      <c r="M136" s="81"/>
      <c r="N136" s="134"/>
    </row>
    <row r="137" spans="1:14" s="90" customFormat="1" x14ac:dyDescent="0.25">
      <c r="A137" s="131" t="s">
        <v>145</v>
      </c>
      <c r="B137" s="135">
        <f>SUM(B133:B135)</f>
        <v>7.0951298636779569E-2</v>
      </c>
      <c r="C137" s="135">
        <f t="shared" ref="C137:N137" si="38">SUM(C133:C135)</f>
        <v>6.7112147288752935E-2</v>
      </c>
      <c r="D137" s="135">
        <f t="shared" si="38"/>
        <v>7.0133685218148584E-2</v>
      </c>
      <c r="E137" s="135">
        <f t="shared" si="38"/>
        <v>6.7897372073036713E-2</v>
      </c>
      <c r="F137" s="135">
        <f t="shared" si="38"/>
        <v>6.9188180354766801E-2</v>
      </c>
      <c r="G137" s="135">
        <f t="shared" si="38"/>
        <v>6.9381405909761412E-2</v>
      </c>
      <c r="H137" s="135">
        <f t="shared" si="38"/>
        <v>6.9410764631463728E-2</v>
      </c>
      <c r="I137" s="135">
        <f t="shared" si="38"/>
        <v>6.8247661785118471E-2</v>
      </c>
      <c r="J137" s="135">
        <f t="shared" si="38"/>
        <v>6.8782956230287948E-2</v>
      </c>
      <c r="K137" s="135">
        <f t="shared" si="38"/>
        <v>6.9257626802422784E-2</v>
      </c>
      <c r="L137" s="135">
        <f t="shared" si="38"/>
        <v>6.9543539232327603E-2</v>
      </c>
      <c r="M137" s="135">
        <f>SUM(M133:M135)</f>
        <v>7.1750896760197996E-2</v>
      </c>
      <c r="N137" s="135">
        <f t="shared" si="38"/>
        <v>6.9387837869086116E-2</v>
      </c>
    </row>
    <row r="138" spans="1:14" s="90" customFormat="1" ht="6" customHeight="1" x14ac:dyDescent="0.25">
      <c r="A138" s="77"/>
      <c r="B138" s="139"/>
      <c r="C138" s="139"/>
      <c r="D138" s="139"/>
      <c r="E138" s="77"/>
      <c r="F138" s="77"/>
      <c r="G138" s="139"/>
      <c r="H138" s="77"/>
      <c r="I138" s="139"/>
      <c r="J138" s="139"/>
      <c r="K138" s="139"/>
      <c r="L138" s="139"/>
      <c r="M138" s="139"/>
      <c r="N138" s="141"/>
    </row>
    <row r="139" spans="1:14" s="77" customFormat="1" x14ac:dyDescent="0.25">
      <c r="A139" s="136" t="s">
        <v>146</v>
      </c>
      <c r="B139" s="94">
        <f t="shared" ref="B139:L139" si="39">B104+B125</f>
        <v>30018849.880000003</v>
      </c>
      <c r="C139" s="94">
        <f>C104+C125</f>
        <v>25056135.590000004</v>
      </c>
      <c r="D139" s="94">
        <f t="shared" si="39"/>
        <v>27439144.740000002</v>
      </c>
      <c r="E139" s="94">
        <f>E104+E125</f>
        <v>25995505.689999998</v>
      </c>
      <c r="F139" s="94">
        <f t="shared" si="39"/>
        <v>27841143.519999996</v>
      </c>
      <c r="G139" s="94">
        <f t="shared" si="39"/>
        <v>28140942.960000001</v>
      </c>
      <c r="H139" s="94">
        <f t="shared" si="39"/>
        <v>14048516.130000001</v>
      </c>
      <c r="I139" s="94">
        <f t="shared" si="39"/>
        <v>29147979.349999994</v>
      </c>
      <c r="J139" s="94">
        <f t="shared" si="39"/>
        <v>29548163.759999998</v>
      </c>
      <c r="K139" s="94">
        <f t="shared" si="39"/>
        <v>31087076.389999993</v>
      </c>
      <c r="L139" s="94">
        <f t="shared" si="39"/>
        <v>32143789.600000001</v>
      </c>
      <c r="M139" s="94">
        <f>M104+M125</f>
        <v>38686590.299999997</v>
      </c>
      <c r="N139" s="94">
        <f>N104+N125</f>
        <v>339153837.90999997</v>
      </c>
    </row>
    <row r="140" spans="1:14" s="77" customFormat="1" ht="8.25" customHeight="1" x14ac:dyDescent="0.25">
      <c r="B140" s="139"/>
      <c r="C140" s="139"/>
      <c r="D140" s="139"/>
      <c r="G140" s="139"/>
      <c r="I140" s="140"/>
      <c r="J140" s="139"/>
      <c r="K140" s="139"/>
      <c r="L140" s="139"/>
      <c r="M140" s="139"/>
      <c r="N140" s="141"/>
    </row>
    <row r="141" spans="1:14" s="77" customFormat="1" x14ac:dyDescent="0.25">
      <c r="A141" s="3" t="s">
        <v>147</v>
      </c>
      <c r="B141" s="3" t="s">
        <v>88</v>
      </c>
      <c r="C141" s="3" t="s">
        <v>89</v>
      </c>
      <c r="D141" s="3" t="s">
        <v>90</v>
      </c>
      <c r="E141" s="3" t="s">
        <v>91</v>
      </c>
      <c r="F141" s="3" t="s">
        <v>92</v>
      </c>
      <c r="G141" s="3" t="s">
        <v>93</v>
      </c>
      <c r="H141" s="3" t="s">
        <v>94</v>
      </c>
      <c r="I141" s="3" t="s">
        <v>95</v>
      </c>
      <c r="J141" s="3" t="s">
        <v>96</v>
      </c>
      <c r="K141" s="3" t="s">
        <v>97</v>
      </c>
      <c r="L141" s="3" t="s">
        <v>98</v>
      </c>
      <c r="M141" s="3" t="s">
        <v>99</v>
      </c>
      <c r="N141" s="3" t="s">
        <v>12</v>
      </c>
    </row>
    <row r="142" spans="1:14" s="77" customFormat="1" x14ac:dyDescent="0.25">
      <c r="A142" s="141"/>
      <c r="B142" s="156"/>
      <c r="C142" s="81"/>
      <c r="D142" s="81"/>
      <c r="E142" s="81"/>
      <c r="F142" s="128"/>
      <c r="G142" s="81"/>
      <c r="H142" s="128"/>
      <c r="I142" s="81"/>
      <c r="J142" s="92"/>
      <c r="K142" s="81"/>
      <c r="L142" s="81"/>
      <c r="M142" s="81"/>
      <c r="N142" s="157"/>
    </row>
    <row r="143" spans="1:14" s="77" customFormat="1" x14ac:dyDescent="0.25">
      <c r="A143" s="130" t="s">
        <v>148</v>
      </c>
      <c r="B143" s="181">
        <f t="shared" ref="B143:M143" si="40">B95</f>
        <v>24704265.620000001</v>
      </c>
      <c r="C143" s="81">
        <f t="shared" si="40"/>
        <v>20635137.420000002</v>
      </c>
      <c r="D143" s="81">
        <f t="shared" si="40"/>
        <v>22602004.880000003</v>
      </c>
      <c r="E143" s="81">
        <f t="shared" si="40"/>
        <v>21412166.25</v>
      </c>
      <c r="F143" s="81">
        <f t="shared" si="40"/>
        <v>22925954.069999997</v>
      </c>
      <c r="G143" s="81">
        <f t="shared" si="40"/>
        <v>23164063.010000002</v>
      </c>
      <c r="H143" s="81">
        <f t="shared" si="40"/>
        <v>24270585.690000001</v>
      </c>
      <c r="I143" s="81">
        <f t="shared" si="40"/>
        <v>24021123.719999995</v>
      </c>
      <c r="J143" s="81">
        <f t="shared" si="40"/>
        <v>24329987.41</v>
      </c>
      <c r="K143" s="81">
        <f t="shared" si="40"/>
        <v>25606855.779999994</v>
      </c>
      <c r="L143" s="81">
        <f t="shared" si="40"/>
        <v>26464459.25</v>
      </c>
      <c r="M143" s="81">
        <f t="shared" si="40"/>
        <v>31861666.390000001</v>
      </c>
      <c r="N143" s="158">
        <f>SUM(B143:M143)</f>
        <v>291998269.49000001</v>
      </c>
    </row>
    <row r="144" spans="1:14" s="77" customFormat="1" x14ac:dyDescent="0.25">
      <c r="A144" s="130" t="s">
        <v>149</v>
      </c>
      <c r="B144" s="181">
        <f t="shared" ref="B144:M144" si="41">B116</f>
        <v>5357440.8499999996</v>
      </c>
      <c r="C144" s="81">
        <f t="shared" si="41"/>
        <v>4473617.25</v>
      </c>
      <c r="D144" s="81">
        <f t="shared" si="41"/>
        <v>4900346.1100000003</v>
      </c>
      <c r="E144" s="81">
        <f t="shared" si="41"/>
        <v>4640665.97</v>
      </c>
      <c r="F144" s="81">
        <f t="shared" si="41"/>
        <v>4968458.4300000006</v>
      </c>
      <c r="G144" s="81">
        <f t="shared" si="41"/>
        <v>5020373.84</v>
      </c>
      <c r="H144" s="81">
        <f t="shared" si="41"/>
        <v>5260427.26</v>
      </c>
      <c r="I144" s="81">
        <f t="shared" si="41"/>
        <v>5208072.96</v>
      </c>
      <c r="J144" s="81">
        <f t="shared" si="41"/>
        <v>5275188.0299999993</v>
      </c>
      <c r="K144" s="81">
        <f t="shared" si="41"/>
        <v>5551860.25</v>
      </c>
      <c r="L144" s="81">
        <f t="shared" si="41"/>
        <v>5736394.9500000002</v>
      </c>
      <c r="M144" s="81">
        <f t="shared" si="41"/>
        <v>6909888.1699999999</v>
      </c>
      <c r="N144" s="158">
        <f>SUM(B144:M144)</f>
        <v>63302734.070000008</v>
      </c>
    </row>
    <row r="145" spans="1:14" s="77" customFormat="1" ht="4.5" customHeight="1" x14ac:dyDescent="0.25">
      <c r="A145" s="128"/>
      <c r="B145" s="181"/>
      <c r="C145" s="81"/>
      <c r="D145" s="81"/>
      <c r="E145" s="81"/>
      <c r="F145" s="128"/>
      <c r="G145" s="81"/>
      <c r="H145" s="128"/>
      <c r="I145" s="137"/>
      <c r="J145" s="92"/>
      <c r="K145" s="81"/>
      <c r="L145" s="81"/>
      <c r="M145" s="81"/>
      <c r="N145" s="157"/>
    </row>
    <row r="146" spans="1:14" s="77" customFormat="1" ht="15.75" thickBot="1" x14ac:dyDescent="0.3">
      <c r="A146" s="130" t="s">
        <v>12</v>
      </c>
      <c r="B146" s="182">
        <f>SUM(B143:B145)</f>
        <v>30061706.469999999</v>
      </c>
      <c r="C146" s="159">
        <f t="shared" ref="C146:M146" si="42">SUM(C143:C145)</f>
        <v>25108754.670000002</v>
      </c>
      <c r="D146" s="159">
        <f t="shared" si="42"/>
        <v>27502350.990000002</v>
      </c>
      <c r="E146" s="159">
        <f t="shared" si="42"/>
        <v>26052832.219999999</v>
      </c>
      <c r="F146" s="159">
        <f>SUM(F143:F145)</f>
        <v>27894412.499999996</v>
      </c>
      <c r="G146" s="159">
        <f t="shared" si="42"/>
        <v>28184436.850000001</v>
      </c>
      <c r="H146" s="159">
        <f t="shared" si="42"/>
        <v>29531012.950000003</v>
      </c>
      <c r="I146" s="159">
        <f t="shared" si="42"/>
        <v>29229196.679999996</v>
      </c>
      <c r="J146" s="159">
        <f t="shared" si="42"/>
        <v>29605175.439999998</v>
      </c>
      <c r="K146" s="159">
        <f t="shared" si="42"/>
        <v>31158716.029999994</v>
      </c>
      <c r="L146" s="159">
        <f t="shared" si="42"/>
        <v>32200854.199999999</v>
      </c>
      <c r="M146" s="159">
        <f t="shared" si="42"/>
        <v>38771554.560000002</v>
      </c>
      <c r="N146" s="160">
        <f>SUM(B146:M146)</f>
        <v>355301003.55999994</v>
      </c>
    </row>
    <row r="147" spans="1:14" s="77" customFormat="1" x14ac:dyDescent="0.25">
      <c r="B147" s="139"/>
      <c r="C147" s="139"/>
      <c r="D147" s="139"/>
      <c r="E147" s="139"/>
      <c r="H147" s="139"/>
      <c r="I147" s="140"/>
      <c r="K147" s="139"/>
      <c r="L147" s="139"/>
      <c r="M147" s="139"/>
      <c r="N147" s="141"/>
    </row>
    <row r="148" spans="1:14" s="77" customFormat="1" ht="15.75" customHeight="1" x14ac:dyDescent="0.25">
      <c r="A148" s="214" t="s">
        <v>251</v>
      </c>
      <c r="B148" s="215"/>
      <c r="C148" s="139"/>
      <c r="D148" s="139"/>
      <c r="E148" s="139"/>
      <c r="H148" s="139"/>
      <c r="I148" s="140"/>
      <c r="K148" s="139"/>
      <c r="L148" s="139"/>
      <c r="M148" s="139"/>
      <c r="N148" s="141"/>
    </row>
    <row r="149" spans="1:14" s="77" customFormat="1" x14ac:dyDescent="0.25">
      <c r="B149" s="139"/>
      <c r="C149" s="139"/>
      <c r="D149" s="139"/>
      <c r="E149" s="139"/>
      <c r="H149" s="139"/>
      <c r="I149" s="140"/>
      <c r="K149" s="139"/>
      <c r="L149" s="139"/>
      <c r="M149" s="139"/>
      <c r="N149" s="141"/>
    </row>
    <row r="150" spans="1:14" s="77" customFormat="1" x14ac:dyDescent="0.25">
      <c r="B150" s="139"/>
      <c r="C150" s="139"/>
      <c r="D150" s="139"/>
      <c r="E150" s="139"/>
      <c r="H150" s="139"/>
      <c r="I150" s="140"/>
      <c r="K150" s="139"/>
      <c r="L150" s="139"/>
      <c r="M150" s="139"/>
      <c r="N150" s="141"/>
    </row>
    <row r="151" spans="1:14" s="77" customFormat="1" x14ac:dyDescent="0.25">
      <c r="B151" s="139"/>
      <c r="C151" s="139"/>
      <c r="D151" s="139"/>
      <c r="E151" s="139"/>
      <c r="G151" s="139"/>
      <c r="H151" s="139"/>
      <c r="I151" s="140"/>
      <c r="J151" s="139"/>
      <c r="K151" s="139"/>
      <c r="L151" s="139"/>
      <c r="M151" s="139"/>
      <c r="N151" s="141"/>
    </row>
    <row r="152" spans="1:14" s="77" customFormat="1" x14ac:dyDescent="0.25">
      <c r="B152" s="139"/>
      <c r="C152" s="139"/>
      <c r="D152" s="139"/>
      <c r="E152" s="139"/>
      <c r="G152" s="139"/>
      <c r="H152" s="139"/>
      <c r="I152" s="140"/>
      <c r="J152" s="139"/>
      <c r="K152" s="139"/>
      <c r="L152" s="139"/>
      <c r="M152" s="139"/>
      <c r="N152" s="141"/>
    </row>
    <row r="153" spans="1:14" s="77" customFormat="1" x14ac:dyDescent="0.25">
      <c r="B153" s="139"/>
      <c r="C153" s="139"/>
      <c r="D153" s="139"/>
      <c r="E153" s="139"/>
      <c r="G153" s="139"/>
      <c r="H153" s="139"/>
      <c r="I153" s="140"/>
      <c r="J153" s="139"/>
      <c r="K153" s="139"/>
      <c r="L153" s="139"/>
      <c r="M153" s="139"/>
      <c r="N153" s="141"/>
    </row>
    <row r="154" spans="1:14" s="77" customFormat="1" x14ac:dyDescent="0.25">
      <c r="B154" s="139"/>
      <c r="C154" s="139"/>
      <c r="D154" s="139"/>
      <c r="E154" s="139"/>
      <c r="G154" s="139"/>
      <c r="H154" s="139"/>
      <c r="I154" s="140"/>
      <c r="J154" s="139"/>
      <c r="L154" s="139"/>
      <c r="M154" s="139"/>
      <c r="N154" s="141"/>
    </row>
    <row r="155" spans="1:14" s="77" customFormat="1" x14ac:dyDescent="0.25">
      <c r="C155" s="139"/>
      <c r="D155" s="139"/>
      <c r="E155" s="139"/>
      <c r="G155" s="139"/>
      <c r="H155" s="139"/>
      <c r="I155" s="140"/>
      <c r="J155" s="139"/>
      <c r="L155" s="139"/>
      <c r="M155" s="139"/>
      <c r="N155" s="141"/>
    </row>
    <row r="156" spans="1:14" s="77" customFormat="1" x14ac:dyDescent="0.25">
      <c r="C156" s="139"/>
      <c r="D156" s="139"/>
      <c r="E156" s="139"/>
      <c r="G156" s="139"/>
      <c r="H156" s="139"/>
      <c r="I156" s="140"/>
      <c r="J156" s="139"/>
      <c r="L156" s="139"/>
      <c r="M156" s="139"/>
      <c r="N156" s="141"/>
    </row>
    <row r="157" spans="1:14" s="77" customFormat="1" x14ac:dyDescent="0.25">
      <c r="C157" s="139"/>
      <c r="D157" s="139"/>
      <c r="E157" s="139"/>
      <c r="G157" s="139"/>
      <c r="H157" s="139"/>
      <c r="I157" s="140"/>
      <c r="J157" s="139"/>
      <c r="L157" s="139"/>
      <c r="M157" s="139"/>
      <c r="N157" s="141"/>
    </row>
    <row r="158" spans="1:14" s="77" customFormat="1" x14ac:dyDescent="0.25">
      <c r="C158" s="139"/>
      <c r="D158" s="139"/>
      <c r="E158" s="139"/>
      <c r="G158" s="139"/>
      <c r="H158" s="139"/>
      <c r="I158" s="143"/>
      <c r="J158" s="139"/>
      <c r="L158" s="139"/>
      <c r="M158" s="139"/>
      <c r="N158" s="141"/>
    </row>
    <row r="159" spans="1:14" s="77" customFormat="1" x14ac:dyDescent="0.25">
      <c r="C159" s="139"/>
      <c r="D159" s="139"/>
      <c r="E159" s="139"/>
      <c r="G159" s="139"/>
      <c r="H159" s="139"/>
      <c r="I159" s="143"/>
      <c r="J159" s="139"/>
      <c r="L159" s="139"/>
      <c r="M159" s="139"/>
      <c r="N159" s="141"/>
    </row>
    <row r="160" spans="1:14" s="77" customFormat="1" x14ac:dyDescent="0.25">
      <c r="C160" s="139"/>
      <c r="D160" s="139"/>
      <c r="E160" s="139"/>
      <c r="G160" s="139"/>
      <c r="H160" s="139"/>
      <c r="I160" s="143"/>
      <c r="J160" s="139"/>
      <c r="L160" s="139"/>
      <c r="M160" s="139"/>
      <c r="N160" s="141"/>
    </row>
    <row r="161" spans="3:14" s="77" customFormat="1" x14ac:dyDescent="0.25">
      <c r="C161" s="139"/>
      <c r="D161" s="139"/>
      <c r="E161" s="139"/>
      <c r="G161" s="139"/>
      <c r="H161" s="139"/>
      <c r="I161" s="143"/>
      <c r="J161" s="139"/>
      <c r="L161" s="139"/>
      <c r="M161" s="139"/>
      <c r="N161" s="141"/>
    </row>
    <row r="162" spans="3:14" s="77" customFormat="1" x14ac:dyDescent="0.25">
      <c r="C162" s="139"/>
      <c r="D162" s="139"/>
      <c r="E162" s="139"/>
      <c r="G162" s="139"/>
      <c r="H162" s="139"/>
      <c r="I162" s="143"/>
      <c r="J162" s="139"/>
      <c r="L162" s="139"/>
      <c r="M162" s="139"/>
      <c r="N162" s="141"/>
    </row>
    <row r="163" spans="3:14" s="77" customFormat="1" x14ac:dyDescent="0.25">
      <c r="C163" s="143"/>
      <c r="D163" s="139"/>
      <c r="E163" s="139"/>
      <c r="G163" s="139"/>
      <c r="H163" s="144"/>
      <c r="J163" s="139"/>
      <c r="L163" s="139"/>
      <c r="M163" s="139"/>
      <c r="N163" s="141"/>
    </row>
    <row r="164" spans="3:14" s="77" customFormat="1" x14ac:dyDescent="0.25">
      <c r="D164" s="139"/>
      <c r="E164" s="139"/>
      <c r="G164" s="139"/>
      <c r="H164" s="143"/>
      <c r="I164" s="139"/>
      <c r="J164" s="139"/>
      <c r="L164" s="139"/>
      <c r="M164" s="139"/>
      <c r="N164" s="141"/>
    </row>
  </sheetData>
  <mergeCells count="8">
    <mergeCell ref="A148:B148"/>
    <mergeCell ref="A1:N1"/>
    <mergeCell ref="A2:A3"/>
    <mergeCell ref="B2:N2"/>
    <mergeCell ref="A85:A86"/>
    <mergeCell ref="B85:N85"/>
    <mergeCell ref="A106:A107"/>
    <mergeCell ref="B106:N10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A147"/>
  <sheetViews>
    <sheetView zoomScale="130" zoomScaleNormal="130" workbookViewId="0"/>
  </sheetViews>
  <sheetFormatPr defaultRowHeight="15" x14ac:dyDescent="0.25"/>
  <cols>
    <col min="1" max="1" width="63.42578125" customWidth="1"/>
    <col min="2" max="4" width="17" bestFit="1" customWidth="1"/>
    <col min="5" max="5" width="18.140625" bestFit="1" customWidth="1"/>
  </cols>
  <sheetData>
    <row r="1" spans="1:5" x14ac:dyDescent="0.25">
      <c r="A1" s="1" t="s">
        <v>244</v>
      </c>
    </row>
    <row r="2" spans="1:5" x14ac:dyDescent="0.25">
      <c r="A2" s="217" t="s">
        <v>118</v>
      </c>
      <c r="B2" s="222">
        <v>2017</v>
      </c>
      <c r="C2" s="222">
        <v>2018</v>
      </c>
      <c r="D2" s="222">
        <v>2019</v>
      </c>
      <c r="E2" s="222" t="s">
        <v>12</v>
      </c>
    </row>
    <row r="3" spans="1:5" ht="5.25" customHeight="1" x14ac:dyDescent="0.25">
      <c r="A3" s="218"/>
      <c r="B3" s="223"/>
      <c r="C3" s="223"/>
      <c r="D3" s="223"/>
      <c r="E3" s="223"/>
    </row>
    <row r="4" spans="1:5" x14ac:dyDescent="0.25">
      <c r="A4" s="166" t="s">
        <v>158</v>
      </c>
      <c r="B4" s="167"/>
      <c r="C4" s="167"/>
      <c r="D4" s="167"/>
      <c r="E4" s="168"/>
    </row>
    <row r="5" spans="1:5" x14ac:dyDescent="0.25">
      <c r="A5" s="83" t="s">
        <v>159</v>
      </c>
      <c r="B5" s="148">
        <v>2532782195.5300002</v>
      </c>
      <c r="C5" s="148">
        <v>2710888489.75</v>
      </c>
      <c r="D5" s="148">
        <v>3064177625.3200002</v>
      </c>
      <c r="E5" s="148">
        <f>AVERAGE(B5:D5)</f>
        <v>2769282770.2000003</v>
      </c>
    </row>
    <row r="6" spans="1:5" x14ac:dyDescent="0.25">
      <c r="A6" s="83" t="s">
        <v>160</v>
      </c>
      <c r="B6" s="148">
        <v>100364040.47</v>
      </c>
      <c r="C6" s="148">
        <v>99795495.550000012</v>
      </c>
      <c r="D6" s="148">
        <v>106265982.05</v>
      </c>
      <c r="E6" s="148">
        <f t="shared" ref="E6:E13" si="0">AVERAGE(B6:D6)</f>
        <v>102141839.35666667</v>
      </c>
    </row>
    <row r="7" spans="1:5" x14ac:dyDescent="0.25">
      <c r="A7" s="86" t="s">
        <v>161</v>
      </c>
      <c r="B7" s="148">
        <v>6964603.5599999996</v>
      </c>
      <c r="C7" s="148">
        <v>6009269.3300000001</v>
      </c>
      <c r="D7" s="148">
        <v>4480541.46</v>
      </c>
      <c r="E7" s="148">
        <f t="shared" si="0"/>
        <v>5818138.1166666672</v>
      </c>
    </row>
    <row r="8" spans="1:5" x14ac:dyDescent="0.25">
      <c r="A8" s="83" t="s">
        <v>162</v>
      </c>
      <c r="B8" s="148">
        <v>0</v>
      </c>
      <c r="C8" s="148">
        <v>0</v>
      </c>
      <c r="D8" s="148">
        <v>0</v>
      </c>
      <c r="E8" s="148">
        <f t="shared" si="0"/>
        <v>0</v>
      </c>
    </row>
    <row r="9" spans="1:5" x14ac:dyDescent="0.25">
      <c r="A9" s="83" t="s">
        <v>163</v>
      </c>
      <c r="B9" s="148">
        <v>0</v>
      </c>
      <c r="C9" s="148">
        <v>0</v>
      </c>
      <c r="D9" s="148">
        <v>0</v>
      </c>
      <c r="E9" s="148">
        <f t="shared" si="0"/>
        <v>0</v>
      </c>
    </row>
    <row r="10" spans="1:5" x14ac:dyDescent="0.25">
      <c r="A10" s="83" t="s">
        <v>164</v>
      </c>
      <c r="B10" s="148">
        <v>1444455746.77</v>
      </c>
      <c r="C10" s="148">
        <v>1572970804.45</v>
      </c>
      <c r="D10" s="148">
        <v>1811904872.0799999</v>
      </c>
      <c r="E10" s="148">
        <f t="shared" si="0"/>
        <v>1609777141.1000001</v>
      </c>
    </row>
    <row r="11" spans="1:5" x14ac:dyDescent="0.25">
      <c r="A11" s="83" t="s">
        <v>165</v>
      </c>
      <c r="B11" s="148">
        <v>31286183.34</v>
      </c>
      <c r="C11" s="148">
        <v>35409714.560000002</v>
      </c>
      <c r="D11" s="148">
        <v>34696858.310000002</v>
      </c>
      <c r="E11" s="148">
        <f t="shared" si="0"/>
        <v>33797585.403333336</v>
      </c>
    </row>
    <row r="12" spans="1:5" x14ac:dyDescent="0.25">
      <c r="A12" s="83" t="s">
        <v>166</v>
      </c>
      <c r="B12" s="148">
        <v>0</v>
      </c>
      <c r="C12" s="148">
        <v>6197226.0300000003</v>
      </c>
      <c r="D12" s="148">
        <v>2136125.96</v>
      </c>
      <c r="E12" s="148">
        <f t="shared" si="0"/>
        <v>2777783.9966666666</v>
      </c>
    </row>
    <row r="13" spans="1:5" x14ac:dyDescent="0.25">
      <c r="A13" s="83" t="s">
        <v>167</v>
      </c>
      <c r="B13" s="148">
        <v>8563678.9100000001</v>
      </c>
      <c r="C13" s="148">
        <v>9792728.4800000004</v>
      </c>
      <c r="D13" s="148">
        <v>11722104.33</v>
      </c>
      <c r="E13" s="148">
        <f t="shared" si="0"/>
        <v>10026170.573333332</v>
      </c>
    </row>
    <row r="14" spans="1:5" x14ac:dyDescent="0.25">
      <c r="A14" s="78" t="s">
        <v>252</v>
      </c>
      <c r="B14" s="169">
        <v>4124416448.5800004</v>
      </c>
      <c r="C14" s="169">
        <v>4441063728.1499996</v>
      </c>
      <c r="D14" s="169">
        <v>5035384109.5099993</v>
      </c>
      <c r="E14" s="79">
        <f>SUM(E5:E13)</f>
        <v>4533621428.7466679</v>
      </c>
    </row>
    <row r="15" spans="1:5" x14ac:dyDescent="0.25">
      <c r="A15" s="83" t="s">
        <v>169</v>
      </c>
      <c r="B15" s="148">
        <v>14174517.279999999</v>
      </c>
      <c r="C15" s="148">
        <v>16565808.59</v>
      </c>
      <c r="D15" s="148">
        <v>18430169.489999998</v>
      </c>
      <c r="E15" s="148">
        <f t="shared" ref="E15:E26" si="1">AVERAGE(B15:D15)</f>
        <v>16390165.119999999</v>
      </c>
    </row>
    <row r="16" spans="1:5" x14ac:dyDescent="0.25">
      <c r="A16" s="83" t="s">
        <v>170</v>
      </c>
      <c r="B16" s="148">
        <v>28363772.41</v>
      </c>
      <c r="C16" s="148">
        <v>21951724.399999999</v>
      </c>
      <c r="D16" s="148">
        <v>24313023.66</v>
      </c>
      <c r="E16" s="148">
        <f t="shared" si="1"/>
        <v>24876173.489999998</v>
      </c>
    </row>
    <row r="17" spans="1:5" x14ac:dyDescent="0.25">
      <c r="A17" s="83" t="s">
        <v>171</v>
      </c>
      <c r="B17" s="148">
        <v>46295.49</v>
      </c>
      <c r="C17" s="148">
        <v>4940914.2</v>
      </c>
      <c r="D17" s="148">
        <v>1110000.6100000001</v>
      </c>
      <c r="E17" s="148">
        <f t="shared" si="1"/>
        <v>2032403.4333333336</v>
      </c>
    </row>
    <row r="18" spans="1:5" x14ac:dyDescent="0.25">
      <c r="A18" s="83" t="s">
        <v>172</v>
      </c>
      <c r="B18" s="148">
        <v>253896.26</v>
      </c>
      <c r="C18" s="148">
        <v>0</v>
      </c>
      <c r="D18" s="148">
        <v>0</v>
      </c>
      <c r="E18" s="148">
        <f t="shared" si="1"/>
        <v>84632.08666666667</v>
      </c>
    </row>
    <row r="19" spans="1:5" x14ac:dyDescent="0.25">
      <c r="A19" s="78" t="s">
        <v>173</v>
      </c>
      <c r="B19" s="169">
        <v>42838481.439999998</v>
      </c>
      <c r="C19" s="169">
        <v>43458447.189999998</v>
      </c>
      <c r="D19" s="169">
        <v>43853193.759999998</v>
      </c>
      <c r="E19" s="148">
        <f t="shared" si="1"/>
        <v>43383374.129999995</v>
      </c>
    </row>
    <row r="20" spans="1:5" x14ac:dyDescent="0.25">
      <c r="A20" s="83" t="s">
        <v>174</v>
      </c>
      <c r="B20" s="148">
        <v>-629058.1</v>
      </c>
      <c r="C20" s="148">
        <v>-247102.47</v>
      </c>
      <c r="D20" s="148">
        <v>-122729.32</v>
      </c>
      <c r="E20" s="148">
        <f t="shared" si="1"/>
        <v>-332963.29666666663</v>
      </c>
    </row>
    <row r="21" spans="1:5" x14ac:dyDescent="0.25">
      <c r="A21" s="83" t="s">
        <v>175</v>
      </c>
      <c r="B21" s="148">
        <v>0</v>
      </c>
      <c r="C21" s="148">
        <v>0</v>
      </c>
      <c r="D21" s="148">
        <v>0</v>
      </c>
      <c r="E21" s="148">
        <f t="shared" si="1"/>
        <v>0</v>
      </c>
    </row>
    <row r="22" spans="1:5" x14ac:dyDescent="0.25">
      <c r="A22" s="83" t="s">
        <v>176</v>
      </c>
      <c r="B22" s="148">
        <v>0</v>
      </c>
      <c r="C22" s="148">
        <v>0</v>
      </c>
      <c r="D22" s="148">
        <v>0</v>
      </c>
      <c r="E22" s="148">
        <f t="shared" si="1"/>
        <v>0</v>
      </c>
    </row>
    <row r="23" spans="1:5" x14ac:dyDescent="0.25">
      <c r="A23" s="83" t="s">
        <v>177</v>
      </c>
      <c r="B23" s="148">
        <v>-37216.18</v>
      </c>
      <c r="C23" s="148">
        <v>-1512724.8</v>
      </c>
      <c r="D23" s="148">
        <v>-621091.06000000006</v>
      </c>
      <c r="E23" s="148">
        <f t="shared" si="1"/>
        <v>-723677.34666666668</v>
      </c>
    </row>
    <row r="24" spans="1:5" x14ac:dyDescent="0.25">
      <c r="A24" s="83" t="s">
        <v>178</v>
      </c>
      <c r="B24" s="148">
        <v>-253896.26</v>
      </c>
      <c r="C24" s="148">
        <v>0</v>
      </c>
      <c r="D24" s="148">
        <v>0</v>
      </c>
      <c r="E24" s="148">
        <f t="shared" si="1"/>
        <v>-84632.08666666667</v>
      </c>
    </row>
    <row r="25" spans="1:5" x14ac:dyDescent="0.25">
      <c r="A25" s="78" t="s">
        <v>179</v>
      </c>
      <c r="B25" s="148">
        <v>-629058.1</v>
      </c>
      <c r="C25" s="148">
        <v>-1759827.27</v>
      </c>
      <c r="D25" s="148">
        <v>-743820.38000000012</v>
      </c>
      <c r="E25" s="148">
        <f t="shared" si="1"/>
        <v>-1044235.25</v>
      </c>
    </row>
    <row r="26" spans="1:5" x14ac:dyDescent="0.25">
      <c r="A26" s="83" t="s">
        <v>180</v>
      </c>
      <c r="B26" s="148">
        <v>37888.629999999997</v>
      </c>
      <c r="C26" s="148">
        <v>47760.639999999999</v>
      </c>
      <c r="D26" s="148">
        <v>65132.58</v>
      </c>
      <c r="E26" s="148">
        <f t="shared" si="1"/>
        <v>50260.616666666661</v>
      </c>
    </row>
    <row r="27" spans="1:5" x14ac:dyDescent="0.25">
      <c r="A27" s="78" t="s">
        <v>181</v>
      </c>
      <c r="B27" s="169">
        <v>4166372648.1100006</v>
      </c>
      <c r="C27" s="169">
        <v>4482810108.71</v>
      </c>
      <c r="D27" s="169">
        <v>5078558615.4699993</v>
      </c>
      <c r="E27" s="169">
        <f>SUM(B27:D27)</f>
        <v>13727741372.289999</v>
      </c>
    </row>
    <row r="28" spans="1:5" ht="6" customHeight="1" x14ac:dyDescent="0.25">
      <c r="A28" s="96"/>
      <c r="B28" s="84"/>
      <c r="C28" s="84"/>
      <c r="D28" s="84"/>
      <c r="E28" s="84"/>
    </row>
    <row r="29" spans="1:5" x14ac:dyDescent="0.25">
      <c r="A29" s="97" t="s">
        <v>182</v>
      </c>
      <c r="B29" s="84">
        <v>91882177.290000007</v>
      </c>
      <c r="C29" s="84">
        <v>59353066.039999999</v>
      </c>
      <c r="D29" s="84">
        <v>65516304.740000002</v>
      </c>
      <c r="E29" s="148">
        <f t="shared" ref="E29:E35" si="2">AVERAGE(B29:D29)</f>
        <v>72250516.023333341</v>
      </c>
    </row>
    <row r="30" spans="1:5" x14ac:dyDescent="0.25">
      <c r="A30" s="83" t="s">
        <v>183</v>
      </c>
      <c r="B30" s="84">
        <v>-6649317.7699999996</v>
      </c>
      <c r="C30" s="84">
        <v>-11452605.689999999</v>
      </c>
      <c r="D30" s="81">
        <v>-22765482.859999999</v>
      </c>
      <c r="E30" s="148">
        <f t="shared" si="2"/>
        <v>-13622468.773333333</v>
      </c>
    </row>
    <row r="31" spans="1:5" x14ac:dyDescent="0.25">
      <c r="A31" s="83" t="s">
        <v>184</v>
      </c>
      <c r="B31" s="84">
        <v>-954703.46</v>
      </c>
      <c r="C31" s="84">
        <v>2269787.6800000002</v>
      </c>
      <c r="D31" s="81">
        <v>-635000.09</v>
      </c>
      <c r="E31" s="148">
        <f t="shared" si="2"/>
        <v>226694.71000000008</v>
      </c>
    </row>
    <row r="32" spans="1:5" x14ac:dyDescent="0.25">
      <c r="A32" s="83" t="s">
        <v>185</v>
      </c>
      <c r="B32" s="84">
        <v>-37888.629999999997</v>
      </c>
      <c r="C32" s="84">
        <v>-47760.639999999999</v>
      </c>
      <c r="D32" s="149">
        <v>-65132.58</v>
      </c>
      <c r="E32" s="148">
        <f t="shared" si="2"/>
        <v>-50260.616666666661</v>
      </c>
    </row>
    <row r="33" spans="1:209" x14ac:dyDescent="0.25">
      <c r="A33" s="83" t="s">
        <v>197</v>
      </c>
      <c r="B33" s="84">
        <v>0</v>
      </c>
      <c r="C33" s="84">
        <v>0</v>
      </c>
      <c r="D33" s="149">
        <v>-65065.41</v>
      </c>
      <c r="E33" s="148">
        <f t="shared" si="2"/>
        <v>-21688.47</v>
      </c>
    </row>
    <row r="34" spans="1:209" x14ac:dyDescent="0.25">
      <c r="A34" s="97" t="s">
        <v>198</v>
      </c>
      <c r="B34" s="84">
        <v>0</v>
      </c>
      <c r="C34" s="84">
        <v>0</v>
      </c>
      <c r="D34" s="149">
        <v>-35884.04</v>
      </c>
      <c r="E34" s="148">
        <f t="shared" si="2"/>
        <v>-11961.346666666666</v>
      </c>
    </row>
    <row r="35" spans="1:209" x14ac:dyDescent="0.25">
      <c r="A35" s="78" t="s">
        <v>186</v>
      </c>
      <c r="B35" s="84">
        <v>84240267.430000007</v>
      </c>
      <c r="C35" s="84">
        <v>50122487.389999993</v>
      </c>
      <c r="D35" s="170">
        <f t="shared" ref="D35" si="3">SUM(D29:D34)</f>
        <v>41949739.760000005</v>
      </c>
      <c r="E35" s="148">
        <f t="shared" si="2"/>
        <v>58770831.526666664</v>
      </c>
    </row>
    <row r="36" spans="1:209" x14ac:dyDescent="0.25">
      <c r="A36" s="171" t="s">
        <v>187</v>
      </c>
      <c r="B36" s="118">
        <f>B35</f>
        <v>84240267.430000007</v>
      </c>
      <c r="C36" s="94">
        <f>C35</f>
        <v>50122487.389999993</v>
      </c>
      <c r="D36" s="94">
        <f t="shared" ref="D36" si="4">D35</f>
        <v>41949739.760000005</v>
      </c>
      <c r="E36" s="94">
        <f>E35</f>
        <v>58770831.526666664</v>
      </c>
    </row>
    <row r="37" spans="1:209" ht="5.25" customHeight="1" x14ac:dyDescent="0.25">
      <c r="A37" s="78"/>
      <c r="B37" s="79"/>
      <c r="C37" s="79"/>
      <c r="D37" s="79"/>
      <c r="E37" s="79"/>
    </row>
    <row r="38" spans="1:209" ht="15.75" thickBot="1" x14ac:dyDescent="0.3">
      <c r="A38" s="171" t="s">
        <v>188</v>
      </c>
      <c r="B38" s="118">
        <f>B27+B36</f>
        <v>4250612915.5400004</v>
      </c>
      <c r="C38" s="101">
        <f t="shared" ref="C38:D38" si="5">C27+C36</f>
        <v>4532932596.1000004</v>
      </c>
      <c r="D38" s="101">
        <f t="shared" si="5"/>
        <v>5120508355.2299995</v>
      </c>
      <c r="E38" s="101">
        <f>E27+E36</f>
        <v>13786512203.816666</v>
      </c>
    </row>
    <row r="39" spans="1:209" ht="7.5" customHeight="1" thickTop="1" thickBot="1" x14ac:dyDescent="0.3"/>
    <row r="40" spans="1:209" s="90" customFormat="1" ht="14.1" customHeight="1" thickTop="1" x14ac:dyDescent="0.25">
      <c r="A40" s="106" t="s">
        <v>189</v>
      </c>
      <c r="B40" s="172">
        <v>2017</v>
      </c>
      <c r="C40" s="172">
        <v>2018</v>
      </c>
      <c r="D40" s="172">
        <v>2019</v>
      </c>
      <c r="E40" s="173" t="s">
        <v>12</v>
      </c>
      <c r="GW40" s="76"/>
      <c r="GX40" s="76"/>
      <c r="GY40" s="76"/>
      <c r="GZ40" s="76"/>
      <c r="HA40" s="76"/>
    </row>
    <row r="41" spans="1:209" s="90" customFormat="1" ht="14.1" customHeight="1" x14ac:dyDescent="0.25">
      <c r="A41" s="111" t="s">
        <v>190</v>
      </c>
      <c r="B41" s="79">
        <f>SUM(B42:B54)</f>
        <v>142660894.66</v>
      </c>
      <c r="C41" s="79">
        <f>SUM(C42:C54)</f>
        <v>138893131.39000002</v>
      </c>
      <c r="D41" s="79">
        <f>SUM(D42:D54)</f>
        <v>188786943.65000004</v>
      </c>
      <c r="E41" s="79">
        <f>SUM(E42:E54)</f>
        <v>470340969.69999993</v>
      </c>
      <c r="GW41" s="76"/>
      <c r="GX41" s="76"/>
      <c r="GY41" s="76"/>
      <c r="GZ41" s="76"/>
      <c r="HA41" s="76"/>
    </row>
    <row r="42" spans="1:209" s="90" customFormat="1" ht="14.1" customHeight="1" x14ac:dyDescent="0.25">
      <c r="A42" s="83" t="s">
        <v>211</v>
      </c>
      <c r="B42" s="84">
        <v>6774086.7399999993</v>
      </c>
      <c r="C42" s="84">
        <v>5026019.2300000004</v>
      </c>
      <c r="D42" s="84">
        <v>6006319.6900000013</v>
      </c>
      <c r="E42" s="89">
        <f t="shared" ref="E42:E54" si="6">SUM(B42:D42)</f>
        <v>17806425.66</v>
      </c>
      <c r="GW42" s="76"/>
      <c r="GX42" s="76"/>
      <c r="GY42" s="76"/>
      <c r="GZ42" s="76"/>
      <c r="HA42" s="76"/>
    </row>
    <row r="43" spans="1:209" s="90" customFormat="1" ht="14.1" customHeight="1" x14ac:dyDescent="0.25">
      <c r="A43" s="83" t="s">
        <v>212</v>
      </c>
      <c r="B43" s="84">
        <v>191739.25000000003</v>
      </c>
      <c r="C43" s="84">
        <v>210109.43000000002</v>
      </c>
      <c r="D43" s="84">
        <v>217985.89000000004</v>
      </c>
      <c r="E43" s="89">
        <f t="shared" si="6"/>
        <v>619834.57000000007</v>
      </c>
      <c r="GW43" s="76"/>
      <c r="GX43" s="76"/>
      <c r="GY43" s="76"/>
      <c r="GZ43" s="76"/>
      <c r="HA43" s="76"/>
    </row>
    <row r="44" spans="1:209" s="90" customFormat="1" ht="14.1" customHeight="1" x14ac:dyDescent="0.25">
      <c r="A44" s="83" t="s">
        <v>213</v>
      </c>
      <c r="B44" s="84">
        <v>15127972.790000001</v>
      </c>
      <c r="C44" s="84">
        <v>16551856.520000001</v>
      </c>
      <c r="D44" s="84">
        <v>22941871.920000002</v>
      </c>
      <c r="E44" s="89">
        <f t="shared" si="6"/>
        <v>54621701.230000004</v>
      </c>
      <c r="GW44" s="76"/>
      <c r="GX44" s="76"/>
      <c r="GY44" s="76"/>
      <c r="GZ44" s="76"/>
      <c r="HA44" s="76"/>
    </row>
    <row r="45" spans="1:209" s="90" customFormat="1" ht="14.1" customHeight="1" x14ac:dyDescent="0.25">
      <c r="A45" s="83" t="s">
        <v>214</v>
      </c>
      <c r="B45" s="84">
        <v>6341175.9399999995</v>
      </c>
      <c r="C45" s="84">
        <v>6073527.4100000001</v>
      </c>
      <c r="D45" s="84">
        <v>7857962.5299999993</v>
      </c>
      <c r="E45" s="89">
        <f t="shared" si="6"/>
        <v>20272665.879999999</v>
      </c>
      <c r="GW45" s="76"/>
      <c r="GX45" s="76"/>
      <c r="GY45" s="76"/>
      <c r="GZ45" s="76"/>
      <c r="HA45" s="76"/>
    </row>
    <row r="46" spans="1:209" s="90" customFormat="1" ht="14.1" customHeight="1" x14ac:dyDescent="0.25">
      <c r="A46" s="83" t="s">
        <v>215</v>
      </c>
      <c r="B46" s="84">
        <v>83190186.430000007</v>
      </c>
      <c r="C46" s="84">
        <v>79717909.810000017</v>
      </c>
      <c r="D46" s="84">
        <v>121097376.2</v>
      </c>
      <c r="E46" s="89">
        <f t="shared" si="6"/>
        <v>284005472.44</v>
      </c>
      <c r="GW46" s="76"/>
      <c r="GX46" s="76"/>
      <c r="GY46" s="76"/>
      <c r="GZ46" s="76"/>
      <c r="HA46" s="76"/>
    </row>
    <row r="47" spans="1:209" s="90" customFormat="1" ht="14.1" customHeight="1" x14ac:dyDescent="0.25">
      <c r="A47" s="83" t="s">
        <v>216</v>
      </c>
      <c r="B47" s="84">
        <v>83026.23</v>
      </c>
      <c r="C47" s="84">
        <v>7412.88</v>
      </c>
      <c r="D47" s="84">
        <v>8035.5300000000007</v>
      </c>
      <c r="E47" s="89">
        <f t="shared" si="6"/>
        <v>98474.64</v>
      </c>
      <c r="GW47" s="76"/>
      <c r="GX47" s="76"/>
      <c r="GY47" s="76"/>
      <c r="GZ47" s="76"/>
      <c r="HA47" s="76"/>
    </row>
    <row r="48" spans="1:209" s="90" customFormat="1" ht="14.1" customHeight="1" x14ac:dyDescent="0.25">
      <c r="A48" s="83" t="s">
        <v>217</v>
      </c>
      <c r="B48" s="84">
        <v>440342.19999999995</v>
      </c>
      <c r="C48" s="84">
        <v>578690.26</v>
      </c>
      <c r="D48" s="84">
        <v>422392.06</v>
      </c>
      <c r="E48" s="89">
        <f t="shared" si="6"/>
        <v>1441424.52</v>
      </c>
      <c r="GW48" s="76"/>
      <c r="GX48" s="76"/>
      <c r="GY48" s="76"/>
      <c r="GZ48" s="76"/>
      <c r="HA48" s="76"/>
    </row>
    <row r="49" spans="1:209" s="90" customFormat="1" ht="14.1" customHeight="1" x14ac:dyDescent="0.25">
      <c r="A49" s="83" t="s">
        <v>218</v>
      </c>
      <c r="B49" s="84">
        <v>2484489.29</v>
      </c>
      <c r="C49" s="84">
        <v>2063099.1200000003</v>
      </c>
      <c r="D49" s="84">
        <v>1543215.7100000002</v>
      </c>
      <c r="E49" s="89">
        <f t="shared" si="6"/>
        <v>6090804.1200000001</v>
      </c>
      <c r="GW49" s="76"/>
      <c r="GX49" s="76"/>
      <c r="GY49" s="76"/>
      <c r="GZ49" s="76"/>
      <c r="HA49" s="76"/>
    </row>
    <row r="50" spans="1:209" s="90" customFormat="1" ht="14.1" customHeight="1" x14ac:dyDescent="0.25">
      <c r="A50" s="83" t="s">
        <v>219</v>
      </c>
      <c r="B50" s="84">
        <v>12677294.83</v>
      </c>
      <c r="C50" s="84">
        <v>14095602.279999997</v>
      </c>
      <c r="D50" s="84">
        <v>14536377.430000002</v>
      </c>
      <c r="E50" s="89">
        <f t="shared" si="6"/>
        <v>41309274.539999999</v>
      </c>
      <c r="GW50" s="76"/>
      <c r="GX50" s="76"/>
      <c r="GY50" s="76"/>
      <c r="GZ50" s="76"/>
      <c r="HA50" s="76"/>
    </row>
    <row r="51" spans="1:209" s="90" customFormat="1" ht="14.1" customHeight="1" x14ac:dyDescent="0.25">
      <c r="A51" s="83" t="s">
        <v>220</v>
      </c>
      <c r="B51" s="84">
        <v>19408.599999999999</v>
      </c>
      <c r="C51" s="84">
        <v>37476.550000000003</v>
      </c>
      <c r="D51" s="84">
        <v>117618.56999999999</v>
      </c>
      <c r="E51" s="89">
        <f t="shared" si="6"/>
        <v>174503.72</v>
      </c>
      <c r="GW51" s="76"/>
      <c r="GX51" s="76"/>
      <c r="GY51" s="76"/>
      <c r="GZ51" s="76"/>
      <c r="HA51" s="76"/>
    </row>
    <row r="52" spans="1:209" s="90" customFormat="1" ht="14.1" customHeight="1" x14ac:dyDescent="0.25">
      <c r="A52" s="83" t="s">
        <v>221</v>
      </c>
      <c r="B52" s="84">
        <v>2129165.4899999998</v>
      </c>
      <c r="C52" s="84">
        <v>3468751.3</v>
      </c>
      <c r="D52" s="84">
        <v>2700505.7399999998</v>
      </c>
      <c r="E52" s="89">
        <f t="shared" si="6"/>
        <v>8298422.5299999993</v>
      </c>
      <c r="GW52" s="76"/>
      <c r="GX52" s="76"/>
      <c r="GY52" s="76"/>
      <c r="GZ52" s="76"/>
      <c r="HA52" s="76"/>
    </row>
    <row r="53" spans="1:209" s="90" customFormat="1" ht="14.1" customHeight="1" x14ac:dyDescent="0.25">
      <c r="A53" s="83" t="s">
        <v>222</v>
      </c>
      <c r="B53" s="84">
        <v>0</v>
      </c>
      <c r="C53" s="84">
        <v>0</v>
      </c>
      <c r="D53" s="84">
        <v>0</v>
      </c>
      <c r="E53" s="89">
        <f t="shared" si="6"/>
        <v>0</v>
      </c>
      <c r="GW53" s="76"/>
      <c r="GX53" s="76"/>
      <c r="GY53" s="76"/>
      <c r="GZ53" s="76"/>
      <c r="HA53" s="76"/>
    </row>
    <row r="54" spans="1:209" s="90" customFormat="1" ht="14.1" customHeight="1" x14ac:dyDescent="0.25">
      <c r="A54" s="83" t="s">
        <v>223</v>
      </c>
      <c r="B54" s="84">
        <v>13202006.869999999</v>
      </c>
      <c r="C54" s="84">
        <v>11062676.6</v>
      </c>
      <c r="D54" s="84">
        <v>11337282.379999999</v>
      </c>
      <c r="E54" s="89">
        <f t="shared" si="6"/>
        <v>35601965.849999994</v>
      </c>
      <c r="GW54" s="76"/>
      <c r="GX54" s="76"/>
      <c r="GY54" s="76"/>
      <c r="GZ54" s="76"/>
      <c r="HA54" s="76"/>
    </row>
    <row r="55" spans="1:209" ht="6.75" customHeight="1" x14ac:dyDescent="0.25"/>
    <row r="56" spans="1:209" x14ac:dyDescent="0.25">
      <c r="A56" s="78" t="s">
        <v>191</v>
      </c>
      <c r="B56" s="79">
        <f>SUM(B57:B71)</f>
        <v>694326420.37999988</v>
      </c>
      <c r="C56" s="79">
        <f>SUM(C57:C71)</f>
        <v>761685375.89999998</v>
      </c>
      <c r="D56" s="79">
        <f>SUM(D57:D71)</f>
        <v>846274392.30000007</v>
      </c>
      <c r="E56" s="79">
        <f>SUM(E57:E71)</f>
        <v>2302286188.5799994</v>
      </c>
    </row>
    <row r="57" spans="1:209" x14ac:dyDescent="0.25">
      <c r="A57" s="83" t="s">
        <v>224</v>
      </c>
      <c r="B57" s="84">
        <v>35851796.109999999</v>
      </c>
      <c r="C57" s="84">
        <v>36985568.43</v>
      </c>
      <c r="D57" s="84">
        <v>39914864.190000005</v>
      </c>
      <c r="E57" s="89">
        <f>SUM(B57:D57)</f>
        <v>112752228.72999999</v>
      </c>
    </row>
    <row r="58" spans="1:209" x14ac:dyDescent="0.25">
      <c r="A58" s="83" t="s">
        <v>225</v>
      </c>
      <c r="B58" s="84">
        <v>8759163.0699999984</v>
      </c>
      <c r="C58" s="84">
        <v>9039767.6099999994</v>
      </c>
      <c r="D58" s="84">
        <v>8806944</v>
      </c>
      <c r="E58" s="89">
        <f t="shared" ref="E58:E71" si="7">SUM(B58:D58)</f>
        <v>26605874.68</v>
      </c>
    </row>
    <row r="59" spans="1:209" x14ac:dyDescent="0.25">
      <c r="A59" s="83" t="s">
        <v>226</v>
      </c>
      <c r="B59" s="84">
        <v>379439777.86999995</v>
      </c>
      <c r="C59" s="84">
        <v>425536081.04999995</v>
      </c>
      <c r="D59" s="84">
        <v>474455418.36000001</v>
      </c>
      <c r="E59" s="89">
        <f t="shared" si="7"/>
        <v>1279431277.2799997</v>
      </c>
    </row>
    <row r="60" spans="1:209" x14ac:dyDescent="0.25">
      <c r="A60" s="83" t="s">
        <v>227</v>
      </c>
      <c r="B60" s="84">
        <v>6449258.0499999998</v>
      </c>
      <c r="C60" s="84">
        <v>4640303.120000001</v>
      </c>
      <c r="D60" s="84">
        <v>6221635.8900000006</v>
      </c>
      <c r="E60" s="89">
        <f t="shared" si="7"/>
        <v>17311197.060000002</v>
      </c>
    </row>
    <row r="61" spans="1:209" x14ac:dyDescent="0.25">
      <c r="A61" s="83" t="s">
        <v>228</v>
      </c>
      <c r="B61" s="84">
        <v>335718.79000000004</v>
      </c>
      <c r="C61" s="84">
        <v>848458.54000000015</v>
      </c>
      <c r="D61" s="84">
        <v>1370314.51</v>
      </c>
      <c r="E61" s="89">
        <f t="shared" si="7"/>
        <v>2554491.84</v>
      </c>
    </row>
    <row r="62" spans="1:209" x14ac:dyDescent="0.25">
      <c r="A62" s="83" t="s">
        <v>229</v>
      </c>
      <c r="B62" s="84">
        <v>909846.88000000012</v>
      </c>
      <c r="C62" s="84">
        <v>1183797</v>
      </c>
      <c r="D62" s="84">
        <v>949861.61</v>
      </c>
      <c r="E62" s="89">
        <f t="shared" si="7"/>
        <v>3043505.49</v>
      </c>
    </row>
    <row r="63" spans="1:209" x14ac:dyDescent="0.25">
      <c r="A63" s="83" t="s">
        <v>230</v>
      </c>
      <c r="B63" s="84">
        <v>9884356.0600000005</v>
      </c>
      <c r="C63" s="84">
        <v>10449740.300000001</v>
      </c>
      <c r="D63" s="84">
        <v>0</v>
      </c>
      <c r="E63" s="89">
        <f t="shared" si="7"/>
        <v>20334096.359999999</v>
      </c>
    </row>
    <row r="64" spans="1:209" x14ac:dyDescent="0.25">
      <c r="A64" s="83" t="s">
        <v>231</v>
      </c>
      <c r="B64" s="84">
        <v>7080736.9999999991</v>
      </c>
      <c r="C64" s="84">
        <v>8217381.9700000007</v>
      </c>
      <c r="D64" s="84">
        <v>11336838.369999999</v>
      </c>
      <c r="E64" s="89">
        <f t="shared" si="7"/>
        <v>26634957.339999996</v>
      </c>
    </row>
    <row r="65" spans="1:5" x14ac:dyDescent="0.25">
      <c r="A65" s="83" t="s">
        <v>232</v>
      </c>
      <c r="B65" s="84">
        <v>1545954</v>
      </c>
      <c r="C65" s="84">
        <v>1299885.5</v>
      </c>
      <c r="D65" s="84">
        <v>1232841.8400000001</v>
      </c>
      <c r="E65" s="89">
        <f t="shared" si="7"/>
        <v>4078681.34</v>
      </c>
    </row>
    <row r="66" spans="1:5" x14ac:dyDescent="0.25">
      <c r="A66" s="83" t="s">
        <v>233</v>
      </c>
      <c r="B66" s="84">
        <v>10961</v>
      </c>
      <c r="C66" s="84">
        <v>21607.14</v>
      </c>
      <c r="D66" s="84">
        <v>56998</v>
      </c>
      <c r="E66" s="89">
        <f t="shared" si="7"/>
        <v>89566.14</v>
      </c>
    </row>
    <row r="67" spans="1:5" x14ac:dyDescent="0.25">
      <c r="A67" s="83" t="s">
        <v>234</v>
      </c>
      <c r="B67" s="84">
        <v>168806137.22000003</v>
      </c>
      <c r="C67" s="84">
        <v>178287472.28999999</v>
      </c>
      <c r="D67" s="84">
        <v>204334535.70999998</v>
      </c>
      <c r="E67" s="89">
        <f t="shared" si="7"/>
        <v>551428145.22000003</v>
      </c>
    </row>
    <row r="68" spans="1:5" x14ac:dyDescent="0.25">
      <c r="A68" s="83" t="s">
        <v>235</v>
      </c>
      <c r="B68" s="84">
        <v>13246448.439999996</v>
      </c>
      <c r="C68" s="84">
        <v>13760957.68</v>
      </c>
      <c r="D68" s="84">
        <v>15041411.15</v>
      </c>
      <c r="E68" s="89">
        <f t="shared" si="7"/>
        <v>42048817.269999996</v>
      </c>
    </row>
    <row r="69" spans="1:5" x14ac:dyDescent="0.25">
      <c r="A69" s="83" t="s">
        <v>236</v>
      </c>
      <c r="B69" s="84">
        <v>60442354.279999994</v>
      </c>
      <c r="C69" s="84">
        <v>69191097.969999999</v>
      </c>
      <c r="D69" s="84">
        <v>78602428.810000002</v>
      </c>
      <c r="E69" s="89">
        <f t="shared" si="7"/>
        <v>208235881.06</v>
      </c>
    </row>
    <row r="70" spans="1:5" x14ac:dyDescent="0.25">
      <c r="A70" s="83" t="s">
        <v>237</v>
      </c>
      <c r="B70" s="84">
        <v>1563911.6099999999</v>
      </c>
      <c r="C70" s="84">
        <v>1902848.3000000003</v>
      </c>
      <c r="D70" s="84">
        <v>3312289.1100000003</v>
      </c>
      <c r="E70" s="89">
        <f t="shared" si="7"/>
        <v>6779049.0200000005</v>
      </c>
    </row>
    <row r="71" spans="1:5" x14ac:dyDescent="0.25">
      <c r="A71" s="83" t="s">
        <v>242</v>
      </c>
      <c r="B71" s="154">
        <v>0</v>
      </c>
      <c r="C71" s="149">
        <v>320409</v>
      </c>
      <c r="D71" s="84">
        <v>638010.75</v>
      </c>
      <c r="E71" s="89">
        <f t="shared" si="7"/>
        <v>958419.75</v>
      </c>
    </row>
    <row r="72" spans="1:5" ht="6.75" customHeight="1" x14ac:dyDescent="0.25">
      <c r="A72" s="113"/>
      <c r="B72" s="174"/>
      <c r="C72" s="174"/>
      <c r="D72" s="155"/>
      <c r="E72" s="174"/>
    </row>
    <row r="73" spans="1:5" x14ac:dyDescent="0.25">
      <c r="A73" s="175" t="s">
        <v>195</v>
      </c>
      <c r="B73" s="176">
        <f>B74+B75</f>
        <v>0</v>
      </c>
      <c r="C73" s="176">
        <f t="shared" ref="C73:D73" si="8">C74+C75</f>
        <v>8673321.8499999996</v>
      </c>
      <c r="D73" s="176">
        <f t="shared" si="8"/>
        <v>44231429.960000008</v>
      </c>
      <c r="E73" s="176">
        <f>E74+E75</f>
        <v>52904751.81000001</v>
      </c>
    </row>
    <row r="74" spans="1:5" x14ac:dyDescent="0.25">
      <c r="A74" s="126" t="s">
        <v>196</v>
      </c>
      <c r="B74" s="149">
        <v>0</v>
      </c>
      <c r="C74" s="149">
        <v>8673321.8499999996</v>
      </c>
      <c r="D74" s="84">
        <v>34883502.520000011</v>
      </c>
      <c r="E74" s="149">
        <f>B74+C74+D74</f>
        <v>43556824.370000012</v>
      </c>
    </row>
    <row r="75" spans="1:5" x14ac:dyDescent="0.25">
      <c r="A75" s="126" t="s">
        <v>201</v>
      </c>
      <c r="B75" s="149">
        <v>0</v>
      </c>
      <c r="C75" s="149">
        <v>0</v>
      </c>
      <c r="D75" s="84">
        <v>9347927.4399999995</v>
      </c>
      <c r="E75" s="149">
        <f>B75+C75+D75</f>
        <v>9347927.4399999995</v>
      </c>
    </row>
    <row r="76" spans="1:5" ht="6.75" customHeight="1" x14ac:dyDescent="0.25">
      <c r="A76" s="88"/>
      <c r="B76" s="174"/>
      <c r="C76" s="174"/>
      <c r="D76" s="155"/>
      <c r="E76" s="174"/>
    </row>
    <row r="77" spans="1:5" x14ac:dyDescent="0.25">
      <c r="A77" s="175" t="s">
        <v>192</v>
      </c>
      <c r="B77" s="176">
        <f>B78+B79+B80+B81</f>
        <v>154939719.71000001</v>
      </c>
      <c r="C77" s="176">
        <f>C78+C79+C80+C81</f>
        <v>167662299.17000002</v>
      </c>
      <c r="D77" s="176">
        <f>D78+D79+D80+D81</f>
        <v>179259222.05000001</v>
      </c>
      <c r="E77" s="176">
        <f>B77+C77+D77</f>
        <v>501861240.93000001</v>
      </c>
    </row>
    <row r="78" spans="1:5" x14ac:dyDescent="0.25">
      <c r="A78" s="126" t="s">
        <v>238</v>
      </c>
      <c r="B78" s="149">
        <v>1130528.1000000001</v>
      </c>
      <c r="C78" s="149">
        <v>1176402.4499999997</v>
      </c>
      <c r="D78" s="84">
        <v>182742862.55000001</v>
      </c>
      <c r="E78" s="149">
        <f>B78+C78+D78</f>
        <v>185049793.10000002</v>
      </c>
    </row>
    <row r="79" spans="1:5" x14ac:dyDescent="0.25">
      <c r="A79" s="126" t="s">
        <v>239</v>
      </c>
      <c r="B79" s="149">
        <v>155074528.56</v>
      </c>
      <c r="C79" s="149">
        <v>170064949.76000002</v>
      </c>
      <c r="D79" s="84">
        <v>10894571.930000002</v>
      </c>
      <c r="E79" s="149">
        <f>B79+C79+D79</f>
        <v>336034050.25000006</v>
      </c>
    </row>
    <row r="80" spans="1:5" x14ac:dyDescent="0.25">
      <c r="A80" s="126" t="s">
        <v>193</v>
      </c>
      <c r="B80" s="149">
        <v>-1265336.95</v>
      </c>
      <c r="C80" s="149">
        <v>-3579053.0399999996</v>
      </c>
      <c r="D80" s="84">
        <v>-4242118.93</v>
      </c>
      <c r="E80" s="149">
        <f>B80+C80+D80</f>
        <v>-9086508.9199999981</v>
      </c>
    </row>
    <row r="81" spans="1:5" x14ac:dyDescent="0.25">
      <c r="A81" s="126" t="s">
        <v>202</v>
      </c>
      <c r="B81" s="149">
        <v>0</v>
      </c>
      <c r="C81" s="149">
        <v>0</v>
      </c>
      <c r="D81" s="84">
        <v>-10136093.5</v>
      </c>
      <c r="E81" s="149">
        <f>B81+C81+D81</f>
        <v>-10136093.5</v>
      </c>
    </row>
    <row r="82" spans="1:5" ht="4.5" customHeight="1" x14ac:dyDescent="0.25">
      <c r="A82" s="88"/>
      <c r="B82" s="174"/>
      <c r="C82" s="174"/>
      <c r="D82" s="155"/>
      <c r="E82" s="174"/>
    </row>
    <row r="83" spans="1:5" x14ac:dyDescent="0.25">
      <c r="A83" s="177" t="s">
        <v>245</v>
      </c>
      <c r="B83" s="178">
        <f>B41+B56+B77+B73</f>
        <v>991927034.74999988</v>
      </c>
      <c r="C83" s="178">
        <f t="shared" ref="C83" si="9">C41+C56+C77+C73</f>
        <v>1076914128.3099999</v>
      </c>
      <c r="D83" s="178">
        <f>D41+D56+D77+D73</f>
        <v>1258551987.96</v>
      </c>
      <c r="E83" s="178">
        <f>E41+E56+E77+E73</f>
        <v>3327393151.019999</v>
      </c>
    </row>
    <row r="84" spans="1:5" ht="6.75" customHeight="1" x14ac:dyDescent="0.25"/>
    <row r="85" spans="1:5" ht="15" customHeight="1" x14ac:dyDescent="0.25">
      <c r="A85" s="217" t="s">
        <v>154</v>
      </c>
      <c r="B85" s="222">
        <v>2017</v>
      </c>
      <c r="C85" s="222">
        <v>2018</v>
      </c>
      <c r="D85" s="222">
        <v>2019</v>
      </c>
      <c r="E85" s="222" t="s">
        <v>12</v>
      </c>
    </row>
    <row r="86" spans="1:5" x14ac:dyDescent="0.25">
      <c r="A86" s="218"/>
      <c r="B86" s="223"/>
      <c r="C86" s="223"/>
      <c r="D86" s="223"/>
      <c r="E86" s="223"/>
    </row>
    <row r="87" spans="1:5" x14ac:dyDescent="0.25">
      <c r="A87" s="83" t="s">
        <v>120</v>
      </c>
      <c r="B87" s="84">
        <f>ROUND((B27*0.076),2)</f>
        <v>316644321.25999999</v>
      </c>
      <c r="C87" s="84">
        <f>ROUND((C27*0.076),2)</f>
        <v>340693568.25999999</v>
      </c>
      <c r="D87" s="84">
        <f>ROUND((D27*0.076),2)</f>
        <v>385970454.77999997</v>
      </c>
      <c r="E87" s="84">
        <f>B87+C87+D87</f>
        <v>1043308344.3</v>
      </c>
    </row>
    <row r="88" spans="1:5" x14ac:dyDescent="0.25">
      <c r="A88" s="83" t="s">
        <v>121</v>
      </c>
      <c r="B88" s="81">
        <v>-75386454.63000001</v>
      </c>
      <c r="C88" s="81">
        <v>-81845473.739999995</v>
      </c>
      <c r="D88" s="81">
        <v>-95650174.890000001</v>
      </c>
      <c r="E88" s="84">
        <f>B88+C88+D88</f>
        <v>-252882103.25999999</v>
      </c>
    </row>
    <row r="89" spans="1:5" ht="8.25" customHeight="1" x14ac:dyDescent="0.25">
      <c r="A89" s="78"/>
      <c r="B89" s="84"/>
      <c r="C89" s="84"/>
      <c r="D89" s="84"/>
      <c r="E89" s="84"/>
    </row>
    <row r="90" spans="1:5" x14ac:dyDescent="0.25">
      <c r="A90" s="78" t="s">
        <v>122</v>
      </c>
      <c r="B90" s="93">
        <f>SUM(B87:B89)</f>
        <v>241257866.63</v>
      </c>
      <c r="C90" s="79">
        <f>SUM(C87:C89)</f>
        <v>258848094.51999998</v>
      </c>
      <c r="D90" s="79">
        <f>SUM(D87:D89)</f>
        <v>290320279.88999999</v>
      </c>
      <c r="E90" s="79">
        <f>SUM(E87:E89)</f>
        <v>790426241.03999996</v>
      </c>
    </row>
    <row r="91" spans="1:5" ht="6" customHeight="1" x14ac:dyDescent="0.25">
      <c r="A91" s="78"/>
      <c r="B91" s="84"/>
      <c r="C91" s="84"/>
      <c r="D91" s="84"/>
      <c r="E91" s="84"/>
    </row>
    <row r="92" spans="1:5" x14ac:dyDescent="0.25">
      <c r="A92" s="83" t="s">
        <v>123</v>
      </c>
      <c r="B92" s="84">
        <f>ROUND((B35*0.04),2)</f>
        <v>3369610.7</v>
      </c>
      <c r="C92" s="84">
        <f>ROUND((C35*0.04),2)</f>
        <v>2004899.5</v>
      </c>
      <c r="D92" s="84">
        <f>ROUND((D35*0.04),2)</f>
        <v>1677989.59</v>
      </c>
      <c r="E92" s="84">
        <f>ROUND((E35*0.04),2)</f>
        <v>2350833.2599999998</v>
      </c>
    </row>
    <row r="93" spans="1:5" x14ac:dyDescent="0.25">
      <c r="A93" s="78" t="s">
        <v>124</v>
      </c>
      <c r="B93" s="79">
        <f>B92</f>
        <v>3369610.7</v>
      </c>
      <c r="C93" s="79">
        <f t="shared" ref="C93:D93" si="10">C92</f>
        <v>2004899.5</v>
      </c>
      <c r="D93" s="79">
        <f t="shared" si="10"/>
        <v>1677989.59</v>
      </c>
      <c r="E93" s="79">
        <f>E92</f>
        <v>2350833.2599999998</v>
      </c>
    </row>
    <row r="94" spans="1:5" ht="5.25" customHeight="1" x14ac:dyDescent="0.25">
      <c r="A94" s="78"/>
      <c r="B94" s="84"/>
      <c r="C94" s="84"/>
      <c r="D94" s="84"/>
      <c r="E94" s="84"/>
    </row>
    <row r="95" spans="1:5" x14ac:dyDescent="0.25">
      <c r="A95" s="171" t="s">
        <v>125</v>
      </c>
      <c r="B95" s="163">
        <f>B90+B93</f>
        <v>244627477.32999998</v>
      </c>
      <c r="C95" s="163">
        <f t="shared" ref="C95:E95" si="11">C90+C93</f>
        <v>260852994.01999998</v>
      </c>
      <c r="D95" s="163">
        <f>D90+D93</f>
        <v>291998269.47999996</v>
      </c>
      <c r="E95" s="163">
        <f t="shared" si="11"/>
        <v>792777074.29999995</v>
      </c>
    </row>
    <row r="96" spans="1:5" ht="6.75" customHeight="1" x14ac:dyDescent="0.25">
      <c r="A96" s="78"/>
      <c r="B96" s="84"/>
      <c r="C96" s="84"/>
      <c r="D96" s="84"/>
      <c r="E96" s="84"/>
    </row>
    <row r="97" spans="1:5" x14ac:dyDescent="0.25">
      <c r="A97" s="78" t="s">
        <v>126</v>
      </c>
      <c r="B97" s="93">
        <v>-507465.01999999996</v>
      </c>
      <c r="C97" s="93">
        <v>-511517.91000000003</v>
      </c>
      <c r="D97" s="93">
        <v>-578040.09</v>
      </c>
      <c r="E97" s="93">
        <f>B97+C97+D97</f>
        <v>-1597023.02</v>
      </c>
    </row>
    <row r="98" spans="1:5" x14ac:dyDescent="0.25">
      <c r="A98" s="78" t="s">
        <v>127</v>
      </c>
      <c r="B98" s="79">
        <v>0</v>
      </c>
      <c r="C98" s="79">
        <v>-40610.589999999997</v>
      </c>
      <c r="D98" s="93">
        <v>-13536.86</v>
      </c>
      <c r="E98" s="79">
        <f>B98+C98+D98</f>
        <v>-54147.45</v>
      </c>
    </row>
    <row r="99" spans="1:5" ht="6" customHeight="1" x14ac:dyDescent="0.25">
      <c r="A99" s="78"/>
      <c r="B99" s="84"/>
      <c r="C99" s="84"/>
      <c r="D99" s="84"/>
      <c r="E99" s="84"/>
    </row>
    <row r="100" spans="1:5" x14ac:dyDescent="0.25">
      <c r="A100" s="171" t="s">
        <v>128</v>
      </c>
      <c r="B100" s="163">
        <f>B95+B97+B98</f>
        <v>244120012.30999997</v>
      </c>
      <c r="C100" s="118">
        <f>C95+C97+C98</f>
        <v>260300865.51999998</v>
      </c>
      <c r="D100" s="118">
        <f>D95+D97+D98</f>
        <v>291406692.52999997</v>
      </c>
      <c r="E100" s="163">
        <f>E95+E97+E98</f>
        <v>791125903.82999992</v>
      </c>
    </row>
    <row r="101" spans="1:5" ht="6.75" customHeight="1" x14ac:dyDescent="0.25">
      <c r="A101" s="78"/>
      <c r="B101" s="84"/>
      <c r="C101" s="84"/>
      <c r="D101" s="84"/>
      <c r="E101" s="84"/>
    </row>
    <row r="102" spans="1:5" x14ac:dyDescent="0.25">
      <c r="A102" s="78" t="s">
        <v>129</v>
      </c>
      <c r="B102" s="79">
        <v>0</v>
      </c>
      <c r="C102" s="79">
        <v>0</v>
      </c>
      <c r="D102" s="79">
        <v>-15427413.57</v>
      </c>
      <c r="E102" s="79">
        <f>B102+C102+D102</f>
        <v>-15427413.57</v>
      </c>
    </row>
    <row r="103" spans="1:5" ht="6" customHeight="1" thickBot="1" x14ac:dyDescent="0.3">
      <c r="A103" s="78"/>
      <c r="B103" s="121"/>
      <c r="C103" s="121"/>
      <c r="D103" s="121"/>
      <c r="E103" s="121"/>
    </row>
    <row r="104" spans="1:5" ht="16.5" thickTop="1" thickBot="1" x14ac:dyDescent="0.3">
      <c r="A104" s="171" t="s">
        <v>130</v>
      </c>
      <c r="B104" s="165">
        <f>+B100+B102</f>
        <v>244120012.30999997</v>
      </c>
      <c r="C104" s="165">
        <f t="shared" ref="C104" si="12">+C100+C102</f>
        <v>260300865.51999998</v>
      </c>
      <c r="D104" s="165">
        <f>+D100+D102</f>
        <v>275979278.95999998</v>
      </c>
      <c r="E104" s="165">
        <f>+E100+E102</f>
        <v>775698490.25999987</v>
      </c>
    </row>
    <row r="105" spans="1:5" ht="9.75" customHeight="1" thickTop="1" x14ac:dyDescent="0.25">
      <c r="A105" s="90"/>
      <c r="B105" s="104"/>
      <c r="C105" s="104"/>
      <c r="D105" s="104"/>
      <c r="E105" s="104"/>
    </row>
    <row r="106" spans="1:5" x14ac:dyDescent="0.25">
      <c r="A106" s="217" t="s">
        <v>246</v>
      </c>
      <c r="B106" s="222">
        <v>2017</v>
      </c>
      <c r="C106" s="222">
        <v>2018</v>
      </c>
      <c r="D106" s="222">
        <v>2019</v>
      </c>
      <c r="E106" s="222" t="s">
        <v>12</v>
      </c>
    </row>
    <row r="107" spans="1:5" x14ac:dyDescent="0.25">
      <c r="A107" s="218"/>
      <c r="B107" s="223"/>
      <c r="C107" s="223"/>
      <c r="D107" s="223"/>
      <c r="E107" s="223"/>
    </row>
    <row r="108" spans="1:5" x14ac:dyDescent="0.25">
      <c r="A108" s="113" t="s">
        <v>132</v>
      </c>
      <c r="B108" s="84">
        <f>ROUND((B27*0.0165),2)</f>
        <v>68745148.689999998</v>
      </c>
      <c r="C108" s="84">
        <f t="shared" ref="C108:E108" si="13">ROUND((C27*0.0165),2)</f>
        <v>73966366.790000007</v>
      </c>
      <c r="D108" s="84">
        <f t="shared" si="13"/>
        <v>83796217.159999996</v>
      </c>
      <c r="E108" s="84">
        <f t="shared" si="13"/>
        <v>226507732.63999999</v>
      </c>
    </row>
    <row r="109" spans="1:5" x14ac:dyDescent="0.25">
      <c r="A109" s="83" t="s">
        <v>133</v>
      </c>
      <c r="B109" s="81">
        <v>-16366796.050000001</v>
      </c>
      <c r="C109" s="81">
        <v>-17769083.109999999</v>
      </c>
      <c r="D109" s="81">
        <v>-20766156.399999995</v>
      </c>
      <c r="E109" s="81">
        <f t="shared" ref="E109" si="14">-ROUND(E83*0.0165,2)</f>
        <v>-54901986.990000002</v>
      </c>
    </row>
    <row r="110" spans="1:5" ht="5.25" customHeight="1" x14ac:dyDescent="0.25">
      <c r="A110" s="111"/>
      <c r="B110" s="79"/>
      <c r="C110" s="79"/>
      <c r="D110" s="79"/>
      <c r="E110" s="79"/>
    </row>
    <row r="111" spans="1:5" x14ac:dyDescent="0.25">
      <c r="A111" s="171" t="s">
        <v>134</v>
      </c>
      <c r="B111" s="163">
        <f>SUM(B108:B110)</f>
        <v>52378352.640000001</v>
      </c>
      <c r="C111" s="163">
        <f>SUM(C108:C110)</f>
        <v>56197283.680000007</v>
      </c>
      <c r="D111" s="163">
        <f>SUM(D108:D110)</f>
        <v>63030060.760000005</v>
      </c>
      <c r="E111" s="163">
        <f>SUM(E108:E110)</f>
        <v>171605745.64999998</v>
      </c>
    </row>
    <row r="112" spans="1:5" ht="4.5" customHeight="1" x14ac:dyDescent="0.25">
      <c r="A112" s="111"/>
      <c r="B112" s="79"/>
      <c r="C112" s="79"/>
      <c r="D112" s="79"/>
      <c r="E112" s="79"/>
    </row>
    <row r="113" spans="1:5" x14ac:dyDescent="0.25">
      <c r="A113" s="113" t="s">
        <v>135</v>
      </c>
      <c r="B113" s="84">
        <f>ROUND((B35*0.0065),2)</f>
        <v>547561.74</v>
      </c>
      <c r="C113" s="84">
        <f>ROUND((C35*0.0065),2)</f>
        <v>325796.17</v>
      </c>
      <c r="D113" s="84">
        <f>ROUND((D35*0.0065),2)</f>
        <v>272673.31</v>
      </c>
      <c r="E113" s="84">
        <f>ROUND((E35*0.0065),2)</f>
        <v>382010.4</v>
      </c>
    </row>
    <row r="114" spans="1:5" x14ac:dyDescent="0.25">
      <c r="A114" s="111" t="s">
        <v>136</v>
      </c>
      <c r="B114" s="79">
        <f>B113</f>
        <v>547561.74</v>
      </c>
      <c r="C114" s="79">
        <f t="shared" ref="C114" si="15">C113</f>
        <v>325796.17</v>
      </c>
      <c r="D114" s="79">
        <f>D113</f>
        <v>272673.31</v>
      </c>
      <c r="E114" s="79">
        <f>E113</f>
        <v>382010.4</v>
      </c>
    </row>
    <row r="115" spans="1:5" ht="3" customHeight="1" x14ac:dyDescent="0.25">
      <c r="A115" s="111"/>
      <c r="B115" s="79"/>
      <c r="C115" s="79"/>
      <c r="D115" s="79"/>
      <c r="E115" s="79"/>
    </row>
    <row r="116" spans="1:5" x14ac:dyDescent="0.25">
      <c r="A116" s="171" t="s">
        <v>137</v>
      </c>
      <c r="B116" s="163">
        <f>B111+B114</f>
        <v>52925914.380000003</v>
      </c>
      <c r="C116" s="163">
        <f>C111+C114</f>
        <v>56523079.850000009</v>
      </c>
      <c r="D116" s="163">
        <f>D111+D114</f>
        <v>63302734.070000008</v>
      </c>
      <c r="E116" s="163">
        <f>E111+E114</f>
        <v>171987756.04999998</v>
      </c>
    </row>
    <row r="117" spans="1:5" ht="6" customHeight="1" x14ac:dyDescent="0.25">
      <c r="A117" s="78"/>
      <c r="B117" s="79"/>
      <c r="C117" s="79"/>
      <c r="D117" s="79"/>
      <c r="E117" s="79"/>
    </row>
    <row r="118" spans="1:5" x14ac:dyDescent="0.25">
      <c r="A118" s="78" t="s">
        <v>126</v>
      </c>
      <c r="B118" s="93">
        <v>-109947.92</v>
      </c>
      <c r="C118" s="93">
        <v>-110827.77999999998</v>
      </c>
      <c r="D118" s="93">
        <v>-125242.15000000001</v>
      </c>
      <c r="E118" s="93">
        <f>B118+C118+D118</f>
        <v>-346017.85</v>
      </c>
    </row>
    <row r="119" spans="1:5" x14ac:dyDescent="0.25">
      <c r="A119" s="111" t="s">
        <v>127</v>
      </c>
      <c r="B119" s="79">
        <v>0</v>
      </c>
      <c r="C119" s="79">
        <v>-8798.9599999999991</v>
      </c>
      <c r="D119" s="93">
        <v>-2932.98</v>
      </c>
      <c r="E119" s="79">
        <f>B119+C119+D119</f>
        <v>-11731.939999999999</v>
      </c>
    </row>
    <row r="120" spans="1:5" ht="6" customHeight="1" x14ac:dyDescent="0.25">
      <c r="A120" s="111"/>
      <c r="B120" s="79"/>
      <c r="C120" s="79"/>
      <c r="D120" s="79"/>
      <c r="E120" s="79"/>
    </row>
    <row r="121" spans="1:5" x14ac:dyDescent="0.25">
      <c r="A121" s="171" t="s">
        <v>138</v>
      </c>
      <c r="B121" s="163">
        <f>B116+B118+B119</f>
        <v>52815966.460000001</v>
      </c>
      <c r="C121" s="163">
        <f>C116+C118+C119</f>
        <v>56403453.110000007</v>
      </c>
      <c r="D121" s="163">
        <f>D116+D118+D119</f>
        <v>63174558.940000013</v>
      </c>
      <c r="E121" s="163">
        <f>E116+E118+E119</f>
        <v>171630006.25999999</v>
      </c>
    </row>
    <row r="122" spans="1:5" ht="6" customHeight="1" x14ac:dyDescent="0.25">
      <c r="A122" s="111"/>
      <c r="B122" s="79"/>
      <c r="C122" s="79"/>
      <c r="D122" s="79"/>
      <c r="E122" s="79"/>
    </row>
    <row r="123" spans="1:5" x14ac:dyDescent="0.25">
      <c r="A123" s="78" t="s">
        <v>129</v>
      </c>
      <c r="B123" s="79">
        <v>0</v>
      </c>
      <c r="C123" s="79">
        <v>0</v>
      </c>
      <c r="D123" s="79">
        <v>0</v>
      </c>
      <c r="E123" s="79">
        <f>B123+C123+D123</f>
        <v>0</v>
      </c>
    </row>
    <row r="124" spans="1:5" ht="6.75" customHeight="1" x14ac:dyDescent="0.25">
      <c r="A124" s="78"/>
      <c r="B124" s="79"/>
      <c r="C124" s="79"/>
      <c r="D124" s="79"/>
      <c r="E124" s="79"/>
    </row>
    <row r="125" spans="1:5" ht="15.75" thickBot="1" x14ac:dyDescent="0.3">
      <c r="A125" s="171" t="s">
        <v>139</v>
      </c>
      <c r="B125" s="165">
        <f>B121+B123</f>
        <v>52815966.460000001</v>
      </c>
      <c r="C125" s="165">
        <f t="shared" ref="C125:D125" si="16">C121+C123</f>
        <v>56403453.110000007</v>
      </c>
      <c r="D125" s="165">
        <f t="shared" si="16"/>
        <v>63174558.940000013</v>
      </c>
      <c r="E125" s="165">
        <f>E121+E123</f>
        <v>171630006.25999999</v>
      </c>
    </row>
    <row r="126" spans="1:5" ht="8.25" customHeight="1" thickTop="1" x14ac:dyDescent="0.25">
      <c r="A126" s="90"/>
      <c r="B126" s="104"/>
      <c r="C126" s="104"/>
      <c r="D126" s="104"/>
      <c r="E126" s="104"/>
    </row>
    <row r="127" spans="1:5" x14ac:dyDescent="0.25">
      <c r="A127" s="126" t="s">
        <v>140</v>
      </c>
      <c r="B127" s="127">
        <f>IF((B27)=0,"",SUM(B90-B97-B98)/(B27))</f>
        <v>5.8027774294186686E-2</v>
      </c>
      <c r="C127" s="127">
        <f t="shared" ref="C127:E127" si="17">IF((C27)=0,"",SUM(C90-C97-C98)/(C27))</f>
        <v>5.7865538965389395E-2</v>
      </c>
      <c r="D127" s="127">
        <f t="shared" si="17"/>
        <v>5.7282366684484415E-2</v>
      </c>
      <c r="E127" s="127">
        <f t="shared" si="17"/>
        <v>5.7699033659596784E-2</v>
      </c>
    </row>
    <row r="128" spans="1:5" ht="6" customHeight="1" x14ac:dyDescent="0.25">
      <c r="A128" s="128"/>
      <c r="B128" s="127"/>
      <c r="C128" s="127"/>
      <c r="D128" s="127"/>
      <c r="E128" s="127"/>
    </row>
    <row r="129" spans="1:5" x14ac:dyDescent="0.25">
      <c r="A129" s="126" t="s">
        <v>141</v>
      </c>
      <c r="B129" s="127">
        <f>IF((B27)=0,"",SUM(B111-B118-B119)/(B27))</f>
        <v>1.2598081111110012E-2</v>
      </c>
      <c r="C129" s="127">
        <f t="shared" ref="C129:E129" si="18">IF((C27)=0,"",SUM(C111-C118-C119)/(C27))</f>
        <v>1.256285879934497E-2</v>
      </c>
      <c r="D129" s="127">
        <f t="shared" si="18"/>
        <v>1.2436252226687152E-2</v>
      </c>
      <c r="E129" s="127">
        <f t="shared" si="18"/>
        <v>1.2526714393608496E-2</v>
      </c>
    </row>
    <row r="130" spans="1:5" ht="8.25" customHeight="1" x14ac:dyDescent="0.25">
      <c r="A130" s="128"/>
      <c r="B130" s="128"/>
      <c r="C130" s="128"/>
      <c r="D130" s="128"/>
      <c r="E130" s="128"/>
    </row>
    <row r="131" spans="1:5" x14ac:dyDescent="0.25">
      <c r="A131" s="131" t="s">
        <v>142</v>
      </c>
      <c r="B131" s="132">
        <f>SUM(B127:B129)</f>
        <v>7.06258554052967E-2</v>
      </c>
      <c r="C131" s="132">
        <f t="shared" ref="C131:D131" si="19">SUM(C127:C129)</f>
        <v>7.0428397764734363E-2</v>
      </c>
      <c r="D131" s="132">
        <f t="shared" si="19"/>
        <v>6.9718618911171565E-2</v>
      </c>
      <c r="E131" s="132">
        <f>SUM(E127:E129)</f>
        <v>7.0225748053205278E-2</v>
      </c>
    </row>
    <row r="132" spans="1:5" ht="8.25" customHeight="1" x14ac:dyDescent="0.25">
      <c r="A132" s="128"/>
      <c r="B132" s="128"/>
      <c r="C132" s="128"/>
      <c r="D132" s="128"/>
      <c r="E132" s="128"/>
    </row>
    <row r="133" spans="1:5" x14ac:dyDescent="0.25">
      <c r="A133" s="128" t="s">
        <v>143</v>
      </c>
      <c r="B133" s="127">
        <f>IF((B38)=0,"",SUM(B95)/(B38))</f>
        <v>5.7551106673500135E-2</v>
      </c>
      <c r="C133" s="127">
        <f t="shared" ref="C133:E133" si="20">IF((C38)=0,"",SUM(C95)/(C38))</f>
        <v>5.7546188585382914E-2</v>
      </c>
      <c r="D133" s="127">
        <f t="shared" si="20"/>
        <v>5.7025250077320531E-2</v>
      </c>
      <c r="E133" s="127">
        <f t="shared" si="20"/>
        <v>5.7503816961082234E-2</v>
      </c>
    </row>
    <row r="134" spans="1:5" ht="6" customHeight="1" x14ac:dyDescent="0.25">
      <c r="A134" s="128"/>
      <c r="B134" s="127"/>
      <c r="C134" s="127"/>
      <c r="D134" s="127"/>
      <c r="E134" s="127"/>
    </row>
    <row r="135" spans="1:5" x14ac:dyDescent="0.25">
      <c r="A135" s="128" t="s">
        <v>144</v>
      </c>
      <c r="B135" s="127">
        <f>IF((B38)=0,"",SUM(B121-B118-B119)/(B38))</f>
        <v>1.2451360646486028E-2</v>
      </c>
      <c r="C135" s="127">
        <f>IF((C38)=0,"",SUM(C121-C118-C119)/(C38))</f>
        <v>1.2469428709050467E-2</v>
      </c>
      <c r="D135" s="127">
        <f>IF((D38)=0,"",SUM(D121-D118-D119)/(D38))</f>
        <v>1.2362587789812642E-2</v>
      </c>
      <c r="E135" s="127">
        <f t="shared" ref="E135" si="21">IF((E38)=0,"",SUM(E97)/(E38))</f>
        <v>-1.1583952463030347E-4</v>
      </c>
    </row>
    <row r="136" spans="1:5" ht="6" customHeight="1" x14ac:dyDescent="0.25">
      <c r="A136" s="128"/>
      <c r="B136" s="133"/>
      <c r="C136" s="133"/>
      <c r="D136" s="133"/>
      <c r="E136" s="133"/>
    </row>
    <row r="137" spans="1:5" x14ac:dyDescent="0.25">
      <c r="A137" s="131" t="s">
        <v>145</v>
      </c>
      <c r="B137" s="135">
        <f>SUM(B133:B135)</f>
        <v>7.0002467319986161E-2</v>
      </c>
      <c r="C137" s="135">
        <f t="shared" ref="C137:D137" si="22">SUM(C133:C135)</f>
        <v>7.0015617294433383E-2</v>
      </c>
      <c r="D137" s="135">
        <f t="shared" si="22"/>
        <v>6.9387837867133179E-2</v>
      </c>
      <c r="E137" s="135">
        <f>SUM(E133:E135)</f>
        <v>5.738797743645193E-2</v>
      </c>
    </row>
    <row r="138" spans="1:5" ht="6" customHeight="1" x14ac:dyDescent="0.25">
      <c r="A138" s="128"/>
      <c r="B138" s="81"/>
      <c r="C138" s="81"/>
      <c r="D138" s="81"/>
      <c r="E138" s="128"/>
    </row>
    <row r="139" spans="1:5" hidden="1" x14ac:dyDescent="0.25">
      <c r="A139" s="136" t="s">
        <v>146</v>
      </c>
      <c r="B139" s="84">
        <f t="shared" ref="B139:E139" si="23">B104+B125</f>
        <v>296935978.76999998</v>
      </c>
      <c r="C139" s="84">
        <f t="shared" si="23"/>
        <v>316704318.63</v>
      </c>
      <c r="D139" s="84">
        <f t="shared" si="23"/>
        <v>339153837.89999998</v>
      </c>
      <c r="E139" s="84">
        <f t="shared" si="23"/>
        <v>947328496.51999986</v>
      </c>
    </row>
    <row r="140" spans="1:5" hidden="1" x14ac:dyDescent="0.25">
      <c r="A140" s="128"/>
      <c r="B140" s="81"/>
      <c r="C140" s="81"/>
      <c r="D140" s="81"/>
      <c r="E140" s="128"/>
    </row>
    <row r="141" spans="1:5" x14ac:dyDescent="0.25">
      <c r="A141" s="171" t="s">
        <v>247</v>
      </c>
      <c r="B141" s="224">
        <f>AVERAGE(B127:D127)</f>
        <v>5.7725226648020163E-2</v>
      </c>
      <c r="C141" s="224"/>
      <c r="D141" s="224"/>
      <c r="E141" s="224"/>
    </row>
    <row r="142" spans="1:5" x14ac:dyDescent="0.25">
      <c r="A142" s="30"/>
      <c r="B142" s="81"/>
      <c r="C142" s="81"/>
      <c r="D142" s="81"/>
      <c r="E142" s="128"/>
    </row>
    <row r="143" spans="1:5" x14ac:dyDescent="0.25">
      <c r="A143" s="171" t="s">
        <v>248</v>
      </c>
      <c r="B143" s="224">
        <f>AVERAGE(B129:D129)</f>
        <v>1.2532397379047377E-2</v>
      </c>
      <c r="C143" s="224"/>
      <c r="D143" s="224"/>
      <c r="E143" s="224"/>
    </row>
    <row r="144" spans="1:5" x14ac:dyDescent="0.25">
      <c r="A144" s="30"/>
      <c r="B144" s="81"/>
      <c r="C144" s="81"/>
      <c r="D144" s="81"/>
      <c r="E144" s="128"/>
    </row>
    <row r="145" spans="1:5" x14ac:dyDescent="0.25">
      <c r="A145" s="171" t="s">
        <v>249</v>
      </c>
      <c r="B145" s="179"/>
      <c r="C145" s="179"/>
      <c r="D145" s="179"/>
      <c r="E145" s="180">
        <f>B141+B143</f>
        <v>7.0257624027067533E-2</v>
      </c>
    </row>
    <row r="146" spans="1:5" ht="4.5" customHeight="1" x14ac:dyDescent="0.25">
      <c r="A146" s="77"/>
      <c r="B146" s="139"/>
      <c r="C146" s="139"/>
      <c r="D146" s="139"/>
      <c r="E146" s="77"/>
    </row>
    <row r="147" spans="1:5" x14ac:dyDescent="0.25">
      <c r="A147" s="214" t="s">
        <v>281</v>
      </c>
      <c r="B147" s="215"/>
    </row>
  </sheetData>
  <mergeCells count="18">
    <mergeCell ref="B141:E141"/>
    <mergeCell ref="B143:E143"/>
    <mergeCell ref="A147:B147"/>
    <mergeCell ref="A106:A107"/>
    <mergeCell ref="B106:B107"/>
    <mergeCell ref="C106:C107"/>
    <mergeCell ref="D106:D107"/>
    <mergeCell ref="E106:E107"/>
    <mergeCell ref="A2:A3"/>
    <mergeCell ref="B2:B3"/>
    <mergeCell ref="C2:C3"/>
    <mergeCell ref="D2:D3"/>
    <mergeCell ref="E2:E3"/>
    <mergeCell ref="A85:A86"/>
    <mergeCell ref="B85:B86"/>
    <mergeCell ref="C85:C86"/>
    <mergeCell ref="D85:D86"/>
    <mergeCell ref="E85:E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5"/>
  <sheetViews>
    <sheetView zoomScale="160" zoomScaleNormal="160" workbookViewId="0">
      <selection activeCell="B1" sqref="B1"/>
    </sheetView>
  </sheetViews>
  <sheetFormatPr defaultColWidth="42.28515625" defaultRowHeight="15" x14ac:dyDescent="0.25"/>
  <cols>
    <col min="1" max="1" width="8" style="5" customWidth="1"/>
    <col min="2" max="2" width="52.85546875" style="5" customWidth="1"/>
    <col min="3" max="3" width="17.85546875" style="5" customWidth="1"/>
    <col min="4" max="4" width="22.5703125" style="5" bestFit="1" customWidth="1"/>
    <col min="5" max="6" width="15.28515625" style="5" bestFit="1" customWidth="1"/>
    <col min="7" max="7" width="18.42578125" style="5" bestFit="1" customWidth="1"/>
    <col min="8" max="16384" width="42.28515625" style="5"/>
  </cols>
  <sheetData>
    <row r="1" spans="1:7" x14ac:dyDescent="0.25">
      <c r="A1" s="1" t="s">
        <v>114</v>
      </c>
    </row>
    <row r="2" spans="1:7" x14ac:dyDescent="0.25">
      <c r="A2" s="225" t="s">
        <v>13</v>
      </c>
      <c r="B2" s="225"/>
      <c r="C2" s="38">
        <v>2017</v>
      </c>
      <c r="D2" s="38">
        <v>2018</v>
      </c>
      <c r="E2" s="38">
        <v>2019</v>
      </c>
      <c r="F2" s="39" t="s">
        <v>12</v>
      </c>
      <c r="G2" s="39" t="s">
        <v>156</v>
      </c>
    </row>
    <row r="3" spans="1:7" x14ac:dyDescent="0.25">
      <c r="A3" s="40" t="s">
        <v>14</v>
      </c>
      <c r="B3" s="40" t="s">
        <v>15</v>
      </c>
      <c r="C3" s="41">
        <f>'I-OR-2017'!O3</f>
        <v>19555438.550000001</v>
      </c>
      <c r="D3" s="41">
        <f>'I-OR-2018'!O3</f>
        <v>20152373.66</v>
      </c>
      <c r="E3" s="41">
        <f>'I-OR-2019'!O3</f>
        <v>21386024.84</v>
      </c>
      <c r="F3" s="41">
        <f>C3+D3+E3</f>
        <v>61093837.049999997</v>
      </c>
      <c r="G3" s="42">
        <f>AVERAGE(C3:E3)</f>
        <v>20364612.349999998</v>
      </c>
    </row>
    <row r="4" spans="1:7" x14ac:dyDescent="0.25">
      <c r="A4" s="40" t="s">
        <v>16</v>
      </c>
      <c r="B4" s="40" t="s">
        <v>17</v>
      </c>
      <c r="C4" s="41">
        <f>'I-OR-2017'!O4</f>
        <v>24367484.969999999</v>
      </c>
      <c r="D4" s="41">
        <f>'I-OR-2018'!O4</f>
        <v>24988137.199999999</v>
      </c>
      <c r="E4" s="41">
        <f>'I-OR-2019'!O4</f>
        <v>26152147.329999998</v>
      </c>
      <c r="F4" s="41">
        <f t="shared" ref="F4:F10" si="0">C4+D4+E4</f>
        <v>75507769.5</v>
      </c>
      <c r="G4" s="42">
        <f t="shared" ref="G4:G10" si="1">AVERAGE(C4:E4)</f>
        <v>25169256.5</v>
      </c>
    </row>
    <row r="5" spans="1:7" x14ac:dyDescent="0.25">
      <c r="A5" s="40" t="s">
        <v>18</v>
      </c>
      <c r="B5" s="40" t="s">
        <v>19</v>
      </c>
      <c r="C5" s="41">
        <f>'I-OR-2017'!O5</f>
        <v>9619551.3100000005</v>
      </c>
      <c r="D5" s="41">
        <f>'I-OR-2018'!O5</f>
        <v>8749898.6400000006</v>
      </c>
      <c r="E5" s="41">
        <f>'I-OR-2019'!O5</f>
        <v>9368753.4299999997</v>
      </c>
      <c r="F5" s="41">
        <f t="shared" si="0"/>
        <v>27738203.380000003</v>
      </c>
      <c r="G5" s="42">
        <f t="shared" si="1"/>
        <v>9246067.7933333348</v>
      </c>
    </row>
    <row r="6" spans="1:7" x14ac:dyDescent="0.25">
      <c r="A6" s="40" t="s">
        <v>20</v>
      </c>
      <c r="B6" s="40" t="s">
        <v>21</v>
      </c>
      <c r="C6" s="41">
        <f>'I-OR-2017'!O6</f>
        <v>9419876.2300000004</v>
      </c>
      <c r="D6" s="41">
        <f>'I-OR-2018'!O6</f>
        <v>7615946.9199999999</v>
      </c>
      <c r="E6" s="41">
        <f>'I-OR-2019'!O6</f>
        <v>7639419.1900000004</v>
      </c>
      <c r="F6" s="41">
        <f t="shared" si="0"/>
        <v>24675242.34</v>
      </c>
      <c r="G6" s="42">
        <f t="shared" si="1"/>
        <v>8225080.7800000003</v>
      </c>
    </row>
    <row r="7" spans="1:7" x14ac:dyDescent="0.25">
      <c r="A7" s="40" t="s">
        <v>22</v>
      </c>
      <c r="B7" s="40" t="s">
        <v>23</v>
      </c>
      <c r="C7" s="41">
        <f>'I-OR-2017'!O7</f>
        <v>2178827.09</v>
      </c>
      <c r="D7" s="41">
        <f>'I-OR-2018'!O7</f>
        <v>2148252.88</v>
      </c>
      <c r="E7" s="41">
        <f>'I-OR-2019'!O7</f>
        <v>2381132.69</v>
      </c>
      <c r="F7" s="41">
        <f t="shared" si="0"/>
        <v>6708212.6600000001</v>
      </c>
      <c r="G7" s="42">
        <f t="shared" si="1"/>
        <v>2236070.8866666667</v>
      </c>
    </row>
    <row r="8" spans="1:7" x14ac:dyDescent="0.25">
      <c r="A8" s="40" t="s">
        <v>24</v>
      </c>
      <c r="B8" s="40" t="s">
        <v>25</v>
      </c>
      <c r="C8" s="41">
        <f>'I-OR-2017'!O8</f>
        <v>23113936.690000001</v>
      </c>
      <c r="D8" s="41">
        <f>'I-OR-2018'!O8</f>
        <v>23953615.620000001</v>
      </c>
      <c r="E8" s="41">
        <f>'I-OR-2019'!O8</f>
        <v>26193756.359999996</v>
      </c>
      <c r="F8" s="41">
        <f t="shared" si="0"/>
        <v>73261308.670000002</v>
      </c>
      <c r="G8" s="42">
        <f t="shared" si="1"/>
        <v>24420436.223333333</v>
      </c>
    </row>
    <row r="9" spans="1:7" x14ac:dyDescent="0.25">
      <c r="A9" s="40" t="s">
        <v>26</v>
      </c>
      <c r="B9" s="40" t="s">
        <v>27</v>
      </c>
      <c r="C9" s="41">
        <f>'I-OR-2017'!O9</f>
        <v>12443962.67</v>
      </c>
      <c r="D9" s="41">
        <f>'I-OR-2018'!O9</f>
        <v>12410839.199999999</v>
      </c>
      <c r="E9" s="41">
        <f>'I-OR-2019'!O9</f>
        <v>13344481.52</v>
      </c>
      <c r="F9" s="41">
        <f t="shared" si="0"/>
        <v>38199283.390000001</v>
      </c>
      <c r="G9" s="42">
        <f t="shared" si="1"/>
        <v>12733094.463333333</v>
      </c>
    </row>
    <row r="10" spans="1:7" x14ac:dyDescent="0.25">
      <c r="A10" s="40" t="s">
        <v>28</v>
      </c>
      <c r="B10" s="40" t="s">
        <v>29</v>
      </c>
      <c r="C10" s="41">
        <f>'I-OR-2017'!O10</f>
        <v>-335037.03999999998</v>
      </c>
      <c r="D10" s="41">
        <f>'I-OR-2018'!O10</f>
        <v>-223568.57</v>
      </c>
      <c r="E10" s="41">
        <f>'I-OR-2019'!O10</f>
        <v>-199733.31</v>
      </c>
      <c r="F10" s="41">
        <f t="shared" si="0"/>
        <v>-758338.91999999993</v>
      </c>
      <c r="G10" s="42">
        <f t="shared" si="1"/>
        <v>-252779.63999999998</v>
      </c>
    </row>
    <row r="11" spans="1:7" x14ac:dyDescent="0.25">
      <c r="A11" s="226" t="s">
        <v>12</v>
      </c>
      <c r="B11" s="226"/>
      <c r="C11" s="43">
        <f>SUM(C3:C10)</f>
        <v>100364040.47</v>
      </c>
      <c r="D11" s="43">
        <f t="shared" ref="D11:E11" si="2">SUM(D3:D10)</f>
        <v>99795495.550000012</v>
      </c>
      <c r="E11" s="43">
        <f t="shared" si="2"/>
        <v>106265982.04999998</v>
      </c>
      <c r="F11" s="43">
        <f>SUM(F3:F10)</f>
        <v>306425518.06999999</v>
      </c>
      <c r="G11" s="44">
        <f>AVERAGE(C11:E11)</f>
        <v>102141839.35666667</v>
      </c>
    </row>
    <row r="12" spans="1:7" x14ac:dyDescent="0.25">
      <c r="A12" s="45"/>
      <c r="B12" s="45"/>
      <c r="C12" s="45"/>
      <c r="D12" s="45"/>
      <c r="E12" s="45"/>
      <c r="F12" s="46"/>
      <c r="G12" s="45"/>
    </row>
    <row r="13" spans="1:7" x14ac:dyDescent="0.25">
      <c r="A13" s="225" t="s">
        <v>30</v>
      </c>
      <c r="B13" s="225"/>
      <c r="C13" s="38">
        <v>2017</v>
      </c>
      <c r="D13" s="38">
        <v>2018</v>
      </c>
      <c r="E13" s="38">
        <v>2019</v>
      </c>
      <c r="F13" s="39" t="s">
        <v>12</v>
      </c>
      <c r="G13" s="39" t="s">
        <v>156</v>
      </c>
    </row>
    <row r="14" spans="1:7" x14ac:dyDescent="0.25">
      <c r="A14" s="40" t="s">
        <v>31</v>
      </c>
      <c r="B14" s="40" t="s">
        <v>15</v>
      </c>
      <c r="C14" s="41">
        <f>'I-OR-2017'!O14</f>
        <v>15690467.029999999</v>
      </c>
      <c r="D14" s="41">
        <f>'I-OR-2018'!O14</f>
        <v>18141443.120000001</v>
      </c>
      <c r="E14" s="41">
        <f>'I-OR-2019'!O14</f>
        <v>15605199.34</v>
      </c>
      <c r="F14" s="41">
        <f>C14+D14+E14</f>
        <v>49437109.489999995</v>
      </c>
      <c r="G14" s="42">
        <f>AVERAGE(C14:E14)</f>
        <v>16479036.496666664</v>
      </c>
    </row>
    <row r="15" spans="1:7" x14ac:dyDescent="0.25">
      <c r="A15" s="40" t="s">
        <v>32</v>
      </c>
      <c r="B15" s="40" t="s">
        <v>33</v>
      </c>
      <c r="C15" s="41">
        <f>'I-OR-2017'!O15</f>
        <v>11749309.390000001</v>
      </c>
      <c r="D15" s="41">
        <f>'I-OR-2018'!O15</f>
        <v>12367594.109999999</v>
      </c>
      <c r="E15" s="41">
        <f>'I-OR-2019'!O15</f>
        <v>13428073.449999999</v>
      </c>
      <c r="F15" s="41">
        <f t="shared" ref="F15:F19" si="3">C15+D15+E15</f>
        <v>37544976.950000003</v>
      </c>
      <c r="G15" s="42">
        <f t="shared" ref="G15:G19" si="4">AVERAGE(C15:E15)</f>
        <v>12514992.316666668</v>
      </c>
    </row>
    <row r="16" spans="1:7" x14ac:dyDescent="0.25">
      <c r="A16" s="40" t="s">
        <v>34</v>
      </c>
      <c r="B16" s="40" t="s">
        <v>35</v>
      </c>
      <c r="C16" s="41">
        <f>'I-OR-2017'!O16</f>
        <v>68960.62</v>
      </c>
      <c r="D16" s="41">
        <f>'I-OR-2018'!O16</f>
        <v>112131.69</v>
      </c>
      <c r="E16" s="41">
        <f>'I-OR-2019'!O16</f>
        <v>94204.34</v>
      </c>
      <c r="F16" s="41">
        <f t="shared" si="3"/>
        <v>275296.65000000002</v>
      </c>
      <c r="G16" s="42">
        <f t="shared" si="4"/>
        <v>91765.55</v>
      </c>
    </row>
    <row r="17" spans="1:7" x14ac:dyDescent="0.25">
      <c r="A17" s="40" t="s">
        <v>36</v>
      </c>
      <c r="B17" s="40" t="s">
        <v>23</v>
      </c>
      <c r="C17" s="41">
        <f>'I-OR-2017'!O17</f>
        <v>1646065.42</v>
      </c>
      <c r="D17" s="41">
        <f>'I-OR-2018'!O17</f>
        <v>2495290.5699999998</v>
      </c>
      <c r="E17" s="41">
        <f>'I-OR-2019'!O17</f>
        <v>3029794.87</v>
      </c>
      <c r="F17" s="41">
        <f t="shared" si="3"/>
        <v>7171150.8599999994</v>
      </c>
      <c r="G17" s="42">
        <f t="shared" si="4"/>
        <v>2390383.6199999996</v>
      </c>
    </row>
    <row r="18" spans="1:7" x14ac:dyDescent="0.25">
      <c r="A18" s="40" t="s">
        <v>37</v>
      </c>
      <c r="B18" s="40" t="s">
        <v>27</v>
      </c>
      <c r="C18" s="41">
        <f>'I-OR-2017'!O18</f>
        <v>2179976.7200000002</v>
      </c>
      <c r="D18" s="41">
        <f>'I-OR-2018'!O18</f>
        <v>2293255.0699999998</v>
      </c>
      <c r="E18" s="41">
        <f>'I-OR-2019'!O18</f>
        <v>2539586.31</v>
      </c>
      <c r="F18" s="41">
        <f t="shared" si="3"/>
        <v>7012818.0999999996</v>
      </c>
      <c r="G18" s="42">
        <f t="shared" si="4"/>
        <v>2337606.0333333332</v>
      </c>
    </row>
    <row r="19" spans="1:7" x14ac:dyDescent="0.25">
      <c r="A19" s="40" t="s">
        <v>38</v>
      </c>
      <c r="B19" s="40" t="s">
        <v>39</v>
      </c>
      <c r="C19" s="41">
        <f>'I-OR-2017'!O19</f>
        <v>0</v>
      </c>
      <c r="D19" s="41">
        <f>'I-OR-2018'!O19</f>
        <v>6197226.0300000003</v>
      </c>
      <c r="E19" s="41">
        <f>'I-OR-2019'!O19</f>
        <v>2136125.96</v>
      </c>
      <c r="F19" s="41">
        <f t="shared" si="3"/>
        <v>8333351.9900000002</v>
      </c>
      <c r="G19" s="42">
        <f t="shared" si="4"/>
        <v>2777783.9966666666</v>
      </c>
    </row>
    <row r="20" spans="1:7" x14ac:dyDescent="0.25">
      <c r="A20" s="226" t="s">
        <v>12</v>
      </c>
      <c r="B20" s="226"/>
      <c r="C20" s="43">
        <f>SUM(C14:C19)</f>
        <v>31334779.18</v>
      </c>
      <c r="D20" s="43">
        <f t="shared" ref="D20:E20" si="5">SUM(D14:D19)</f>
        <v>41606940.590000004</v>
      </c>
      <c r="E20" s="43">
        <f t="shared" si="5"/>
        <v>36832984.270000003</v>
      </c>
      <c r="F20" s="43">
        <f>SUM(F14:F19)</f>
        <v>109774704.03999999</v>
      </c>
      <c r="G20" s="44">
        <f>AVERAGE(C20:E20)</f>
        <v>36591568.013333343</v>
      </c>
    </row>
    <row r="21" spans="1:7" x14ac:dyDescent="0.25">
      <c r="A21" s="45"/>
      <c r="B21" s="45"/>
      <c r="C21" s="45"/>
      <c r="D21" s="45"/>
      <c r="E21" s="45"/>
      <c r="F21" s="46"/>
      <c r="G21" s="45"/>
    </row>
    <row r="22" spans="1:7" x14ac:dyDescent="0.25">
      <c r="A22" s="225" t="s">
        <v>40</v>
      </c>
      <c r="B22" s="225"/>
      <c r="C22" s="38">
        <v>2017</v>
      </c>
      <c r="D22" s="38">
        <v>2018</v>
      </c>
      <c r="E22" s="38">
        <v>2019</v>
      </c>
      <c r="F22" s="39" t="s">
        <v>12</v>
      </c>
      <c r="G22" s="39" t="s">
        <v>156</v>
      </c>
    </row>
    <row r="23" spans="1:7" x14ac:dyDescent="0.25">
      <c r="A23" s="40" t="s">
        <v>41</v>
      </c>
      <c r="B23" s="40" t="s">
        <v>42</v>
      </c>
      <c r="C23" s="41">
        <f>'I-OR-2017'!O23</f>
        <v>0</v>
      </c>
      <c r="D23" s="41">
        <f>'I-OR-2018'!O23</f>
        <v>0</v>
      </c>
      <c r="E23" s="41">
        <f>'I-OR-2019'!O23</f>
        <v>0</v>
      </c>
      <c r="F23" s="41">
        <f>'I-OR-2017'!O23+'I-OR-2018'!O23+'I-OR-2019'!O23</f>
        <v>0</v>
      </c>
      <c r="G23" s="42">
        <f>AVERAGE(C23:E23)</f>
        <v>0</v>
      </c>
    </row>
    <row r="24" spans="1:7" x14ac:dyDescent="0.25">
      <c r="A24" s="40" t="s">
        <v>43</v>
      </c>
      <c r="B24" s="40" t="s">
        <v>44</v>
      </c>
      <c r="C24" s="41">
        <f>'I-OR-2017'!O24</f>
        <v>120</v>
      </c>
      <c r="D24" s="41">
        <f>'I-OR-2018'!O24</f>
        <v>0</v>
      </c>
      <c r="E24" s="41">
        <f>'I-OR-2019'!O24</f>
        <v>0</v>
      </c>
      <c r="F24" s="41">
        <f>'I-OR-2017'!O24+'I-OR-2018'!O24+'I-OR-2019'!O24</f>
        <v>120</v>
      </c>
      <c r="G24" s="42">
        <f t="shared" ref="G24:G32" si="6">AVERAGE(C24:E24)</f>
        <v>40</v>
      </c>
    </row>
    <row r="25" spans="1:7" x14ac:dyDescent="0.25">
      <c r="A25" s="40" t="s">
        <v>45</v>
      </c>
      <c r="B25" s="40" t="s">
        <v>72</v>
      </c>
      <c r="C25" s="41">
        <f>'I-OR-2017'!O25</f>
        <v>0</v>
      </c>
      <c r="D25" s="41">
        <f>'I-OR-2018'!O25</f>
        <v>0</v>
      </c>
      <c r="E25" s="41">
        <f>'I-OR-2019'!O25</f>
        <v>0</v>
      </c>
      <c r="F25" s="41">
        <f>'I-OR-2017'!O25+'I-OR-2018'!O25+'I-OR-2019'!O25</f>
        <v>0</v>
      </c>
      <c r="G25" s="42">
        <f t="shared" si="6"/>
        <v>0</v>
      </c>
    </row>
    <row r="26" spans="1:7" x14ac:dyDescent="0.25">
      <c r="A26" s="40" t="s">
        <v>47</v>
      </c>
      <c r="B26" s="40" t="s">
        <v>48</v>
      </c>
      <c r="C26" s="41">
        <f>'I-OR-2017'!O26</f>
        <v>14133627.119999999</v>
      </c>
      <c r="D26" s="41">
        <f>'I-OR-2018'!O26</f>
        <v>16514810.800000001</v>
      </c>
      <c r="E26" s="41">
        <f>'I-OR-2019'!O26</f>
        <v>18380182.149999999</v>
      </c>
      <c r="F26" s="41">
        <f>'I-OR-2017'!O26+'I-OR-2018'!O26+'I-OR-2019'!O26</f>
        <v>49028620.07</v>
      </c>
      <c r="G26" s="42">
        <f t="shared" si="6"/>
        <v>16342873.356666667</v>
      </c>
    </row>
    <row r="27" spans="1:7" x14ac:dyDescent="0.25">
      <c r="A27" s="40" t="s">
        <v>49</v>
      </c>
      <c r="B27" s="40" t="s">
        <v>50</v>
      </c>
      <c r="C27" s="41">
        <f>'I-OR-2017'!O27</f>
        <v>40120.160000000003</v>
      </c>
      <c r="D27" s="41">
        <f>'I-OR-2018'!O27</f>
        <v>50957.79</v>
      </c>
      <c r="E27" s="41">
        <f>'I-OR-2019'!O27</f>
        <v>49972.34</v>
      </c>
      <c r="F27" s="41">
        <f>'I-OR-2017'!O27+'I-OR-2018'!O27+'I-OR-2019'!O27</f>
        <v>141050.29</v>
      </c>
      <c r="G27" s="42">
        <f t="shared" si="6"/>
        <v>47016.763333333336</v>
      </c>
    </row>
    <row r="28" spans="1:7" x14ac:dyDescent="0.25">
      <c r="A28" s="40" t="s">
        <v>51</v>
      </c>
      <c r="B28" s="40" t="s">
        <v>52</v>
      </c>
      <c r="C28" s="41">
        <f>'I-OR-2017'!O28</f>
        <v>650</v>
      </c>
      <c r="D28" s="41">
        <f>'I-OR-2018'!O28</f>
        <v>40</v>
      </c>
      <c r="E28" s="41">
        <f>'I-OR-2019'!O28</f>
        <v>15</v>
      </c>
      <c r="F28" s="41">
        <f>'I-OR-2017'!O28+'I-OR-2018'!O28+'I-OR-2019'!O28</f>
        <v>705</v>
      </c>
      <c r="G28" s="42">
        <f t="shared" si="6"/>
        <v>235</v>
      </c>
    </row>
    <row r="29" spans="1:7" x14ac:dyDescent="0.25">
      <c r="A29" s="40" t="s">
        <v>53</v>
      </c>
      <c r="B29" s="40" t="s">
        <v>54</v>
      </c>
      <c r="C29" s="41">
        <f>'I-OR-2017'!O29</f>
        <v>73360.81</v>
      </c>
      <c r="D29" s="41">
        <f>'I-OR-2018'!O29</f>
        <v>191113.55</v>
      </c>
      <c r="E29" s="41">
        <f>'I-OR-2019'!O29</f>
        <v>226443.41</v>
      </c>
      <c r="F29" s="41">
        <f>'I-OR-2017'!O29+'I-OR-2018'!O29+'I-OR-2019'!O29</f>
        <v>490917.77</v>
      </c>
      <c r="G29" s="42">
        <f t="shared" si="6"/>
        <v>163639.25666666668</v>
      </c>
    </row>
    <row r="30" spans="1:7" x14ac:dyDescent="0.25">
      <c r="A30" s="40" t="s">
        <v>55</v>
      </c>
      <c r="B30" s="40" t="s">
        <v>56</v>
      </c>
      <c r="C30" s="41">
        <f>'I-OR-2017'!O30</f>
        <v>515073.55</v>
      </c>
      <c r="D30" s="41">
        <f>'I-OR-2018'!O30</f>
        <v>470878.34</v>
      </c>
      <c r="E30" s="41">
        <f>'I-OR-2019'!O30</f>
        <v>623955.80000000005</v>
      </c>
      <c r="F30" s="41">
        <f>'I-OR-2017'!O30+'I-OR-2018'!O30+'I-OR-2019'!O30</f>
        <v>1609907.69</v>
      </c>
      <c r="G30" s="42">
        <f t="shared" si="6"/>
        <v>536635.89666666661</v>
      </c>
    </row>
    <row r="31" spans="1:7" x14ac:dyDescent="0.25">
      <c r="A31" s="40" t="s">
        <v>57</v>
      </c>
      <c r="B31" s="40" t="s">
        <v>58</v>
      </c>
      <c r="C31" s="41">
        <f>'I-OR-2017'!O31</f>
        <v>4041666.66</v>
      </c>
      <c r="D31" s="41">
        <f>'I-OR-2018'!O31</f>
        <v>4200000</v>
      </c>
      <c r="E31" s="41">
        <f>'I-OR-2019'!O31</f>
        <v>4200000</v>
      </c>
      <c r="F31" s="41">
        <f>'I-OR-2017'!O31+'I-OR-2018'!O31+'I-OR-2019'!O31</f>
        <v>12441666.66</v>
      </c>
      <c r="G31" s="42">
        <f t="shared" si="6"/>
        <v>4147222.22</v>
      </c>
    </row>
    <row r="32" spans="1:7" x14ac:dyDescent="0.25">
      <c r="A32" s="40" t="s">
        <v>59</v>
      </c>
      <c r="B32" s="40" t="s">
        <v>60</v>
      </c>
      <c r="C32" s="41">
        <f>'I-OR-2017'!O32</f>
        <v>1835894.24</v>
      </c>
      <c r="D32" s="41">
        <f>'I-OR-2018'!O32</f>
        <v>111594.55</v>
      </c>
      <c r="E32" s="41">
        <f>'I-OR-2019'!O32</f>
        <v>419008.63</v>
      </c>
      <c r="F32" s="41">
        <f>'I-OR-2017'!O32+'I-OR-2018'!O32+'I-OR-2019'!O32</f>
        <v>2366497.42</v>
      </c>
      <c r="G32" s="42">
        <f t="shared" si="6"/>
        <v>788832.47333333327</v>
      </c>
    </row>
    <row r="33" spans="1:7" x14ac:dyDescent="0.25">
      <c r="A33" s="226" t="s">
        <v>12</v>
      </c>
      <c r="B33" s="226"/>
      <c r="C33" s="43">
        <f>SUM(C23:C32)</f>
        <v>20640512.539999999</v>
      </c>
      <c r="D33" s="43">
        <f t="shared" ref="D33" si="7">SUM(D23:D32)</f>
        <v>21539395.030000001</v>
      </c>
      <c r="E33" s="43">
        <f>SUM(E23:E32)</f>
        <v>23899577.329999998</v>
      </c>
      <c r="F33" s="43">
        <f>SUM(F23:F32)</f>
        <v>66079484.900000006</v>
      </c>
      <c r="G33" s="44">
        <f>AVERAGE(C33:E33)</f>
        <v>22026494.966666665</v>
      </c>
    </row>
    <row r="34" spans="1:7" x14ac:dyDescent="0.25">
      <c r="A34" s="45"/>
      <c r="B34" s="45"/>
      <c r="C34" s="45"/>
      <c r="D34" s="45"/>
      <c r="E34" s="45"/>
      <c r="F34" s="46"/>
      <c r="G34" s="45"/>
    </row>
    <row r="35" spans="1:7" x14ac:dyDescent="0.25">
      <c r="A35" s="225" t="s">
        <v>61</v>
      </c>
      <c r="B35" s="225"/>
      <c r="C35" s="38">
        <v>2017</v>
      </c>
      <c r="D35" s="38">
        <v>2018</v>
      </c>
      <c r="E35" s="38">
        <v>2019</v>
      </c>
      <c r="F35" s="39" t="s">
        <v>12</v>
      </c>
      <c r="G35" s="39" t="s">
        <v>156</v>
      </c>
    </row>
    <row r="36" spans="1:7" x14ac:dyDescent="0.25">
      <c r="A36" s="40" t="s">
        <v>62</v>
      </c>
      <c r="B36" s="40" t="s">
        <v>63</v>
      </c>
      <c r="C36" s="41">
        <f>'I-OR-2017'!O36</f>
        <v>21268719.050000001</v>
      </c>
      <c r="D36" s="41">
        <f>'I-OR-2018'!O36</f>
        <v>16731035.49</v>
      </c>
      <c r="E36" s="41">
        <f>'I-OR-2019'!O36</f>
        <v>18720886.5</v>
      </c>
      <c r="F36" s="41">
        <f>'I-OR-2017'!O36+'I-OR-2018'!O36+'I-OR-2019'!O36</f>
        <v>56720641.039999999</v>
      </c>
      <c r="G36" s="42">
        <f>AVERAGE(C36:E36)</f>
        <v>18906880.346666668</v>
      </c>
    </row>
    <row r="37" spans="1:7" x14ac:dyDescent="0.25">
      <c r="A37" s="40" t="s">
        <v>64</v>
      </c>
      <c r="B37" s="40" t="s">
        <v>65</v>
      </c>
      <c r="C37" s="41">
        <f>'I-OR-2017'!O37</f>
        <v>629058.1</v>
      </c>
      <c r="D37" s="41">
        <f>'I-OR-2018'!O37</f>
        <v>247102.47</v>
      </c>
      <c r="E37" s="41">
        <f>'I-OR-2019'!O37</f>
        <v>122729.32</v>
      </c>
      <c r="F37" s="41">
        <f>'I-OR-2017'!O37+'I-OR-2018'!O37+'I-OR-2019'!O37</f>
        <v>998889.8899999999</v>
      </c>
      <c r="G37" s="42">
        <f t="shared" ref="G37:G40" si="8">AVERAGE(C37:E37)</f>
        <v>332963.29666666663</v>
      </c>
    </row>
    <row r="38" spans="1:7" x14ac:dyDescent="0.25">
      <c r="A38" s="40" t="s">
        <v>66</v>
      </c>
      <c r="B38" s="40" t="s">
        <v>67</v>
      </c>
      <c r="C38" s="41">
        <f>'I-OR-2017'!O38</f>
        <v>0</v>
      </c>
      <c r="D38" s="41">
        <f>'I-OR-2018'!O38</f>
        <v>0</v>
      </c>
      <c r="E38" s="41">
        <f>'I-OR-2019'!O38</f>
        <v>0</v>
      </c>
      <c r="F38" s="41">
        <f>'I-OR-2017'!O38+'I-OR-2018'!O38+'I-OR-2019'!O38</f>
        <v>0</v>
      </c>
      <c r="G38" s="42">
        <f t="shared" si="8"/>
        <v>0</v>
      </c>
    </row>
    <row r="39" spans="1:7" x14ac:dyDescent="0.25">
      <c r="A39" s="40" t="s">
        <v>68</v>
      </c>
      <c r="B39" s="40" t="s">
        <v>69</v>
      </c>
      <c r="C39" s="41">
        <f>'I-OR-2017'!O39</f>
        <v>0</v>
      </c>
      <c r="D39" s="41">
        <f>'I-OR-2018'!O39</f>
        <v>0</v>
      </c>
      <c r="E39" s="41">
        <f>'I-OR-2019'!O39</f>
        <v>0</v>
      </c>
      <c r="F39" s="41">
        <f>'I-OR-2017'!O39+'I-OR-2018'!O39+'I-OR-2019'!O39</f>
        <v>0</v>
      </c>
      <c r="G39" s="42">
        <f t="shared" si="8"/>
        <v>0</v>
      </c>
    </row>
    <row r="40" spans="1:7" x14ac:dyDescent="0.25">
      <c r="A40" s="40" t="s">
        <v>70</v>
      </c>
      <c r="B40" s="40" t="s">
        <v>71</v>
      </c>
      <c r="C40" s="41">
        <f>'I-OR-2017'!O40</f>
        <v>9079.31</v>
      </c>
      <c r="D40" s="41">
        <f>'I-OR-2018'!O40</f>
        <v>3428189.4</v>
      </c>
      <c r="E40" s="41">
        <f>'I-OR-2019'!O40</f>
        <v>488909.55</v>
      </c>
      <c r="F40" s="41">
        <f>'I-OR-2017'!O40+'I-OR-2018'!O40+'I-OR-2019'!O40</f>
        <v>3926178.26</v>
      </c>
      <c r="G40" s="42">
        <f t="shared" si="8"/>
        <v>1308726.0866666667</v>
      </c>
    </row>
    <row r="41" spans="1:7" x14ac:dyDescent="0.25">
      <c r="A41" s="226" t="s">
        <v>12</v>
      </c>
      <c r="B41" s="226"/>
      <c r="C41" s="43">
        <f>SUM(C36:C40)</f>
        <v>21906856.460000001</v>
      </c>
      <c r="D41" s="43">
        <f>SUM(D36:D40)</f>
        <v>20406327.359999999</v>
      </c>
      <c r="E41" s="43">
        <f>SUM(E36:E40)</f>
        <v>19332525.370000001</v>
      </c>
      <c r="F41" s="43">
        <f>SUM(F36:F40)</f>
        <v>61645709.189999998</v>
      </c>
      <c r="G41" s="44">
        <f>AVERAGE(C41:E41)</f>
        <v>20548569.73</v>
      </c>
    </row>
    <row r="42" spans="1:7" x14ac:dyDescent="0.25">
      <c r="A42" s="45"/>
      <c r="B42" s="45"/>
      <c r="C42" s="45"/>
      <c r="D42" s="45"/>
      <c r="E42" s="45"/>
      <c r="F42" s="45"/>
      <c r="G42" s="47"/>
    </row>
    <row r="43" spans="1:7" ht="15" customHeight="1" x14ac:dyDescent="0.25">
      <c r="A43" s="226" t="s">
        <v>110</v>
      </c>
      <c r="B43" s="226"/>
      <c r="C43" s="43">
        <f t="shared" ref="C43:F43" si="9">C11+C20+C33+C41</f>
        <v>174246188.65000001</v>
      </c>
      <c r="D43" s="43">
        <f t="shared" si="9"/>
        <v>183348158.53000003</v>
      </c>
      <c r="E43" s="43">
        <f t="shared" si="9"/>
        <v>186331069.01999998</v>
      </c>
      <c r="F43" s="43">
        <f t="shared" si="9"/>
        <v>543925416.20000005</v>
      </c>
      <c r="G43" s="44">
        <f>G11+G20+G33+G41</f>
        <v>181308472.06666666</v>
      </c>
    </row>
    <row r="44" spans="1:7" ht="6" customHeight="1" x14ac:dyDescent="0.25"/>
    <row r="45" spans="1:7" x14ac:dyDescent="0.25">
      <c r="A45" s="1" t="s">
        <v>282</v>
      </c>
    </row>
  </sheetData>
  <mergeCells count="9">
    <mergeCell ref="A35:B35"/>
    <mergeCell ref="A41:B41"/>
    <mergeCell ref="A43:B43"/>
    <mergeCell ref="A2:B2"/>
    <mergeCell ref="A11:B11"/>
    <mergeCell ref="A13:B13"/>
    <mergeCell ref="A20:B20"/>
    <mergeCell ref="A22:B22"/>
    <mergeCell ref="A33:B3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Mapa_Planilha</vt:lpstr>
      <vt:lpstr>I-OR-2017</vt:lpstr>
      <vt:lpstr>I-OR-2018</vt:lpstr>
      <vt:lpstr>I-OR-2019</vt:lpstr>
      <vt:lpstr>I-Apur. PASEP_COFINS 2017 </vt:lpstr>
      <vt:lpstr>I-Apur. PASEP_COFINS 2018</vt:lpstr>
      <vt:lpstr>I-Apur. PASEP_COFINS 2019</vt:lpstr>
      <vt:lpstr>A-CONSOL PASEP_COFINS</vt:lpstr>
      <vt:lpstr>A-CALCULO OR CONSOL</vt:lpstr>
      <vt:lpstr>R-COMPARTILHAMENTO 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Luciano Ricardo Menegazzo</cp:lastModifiedBy>
  <dcterms:created xsi:type="dcterms:W3CDTF">2019-11-25T15:00:33Z</dcterms:created>
  <dcterms:modified xsi:type="dcterms:W3CDTF">2020-12-21T20:51:10Z</dcterms:modified>
</cp:coreProperties>
</file>