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1\4-2a RTP-etapa2\8-Docs Finais 1a Fase\Planilhas-1aFase2aRTP\"/>
    </mc:Choice>
  </mc:AlternateContent>
  <xr:revisionPtr revIDLastSave="1" documentId="13_ncr:1_{BACF2482-9A17-4D52-8077-F3DF7B7E7449}" xr6:coauthVersionLast="36" xr6:coauthVersionMax="46" xr10:uidLastSave="{57FA6460-D04C-4FD1-B28D-D752BE634EFE}"/>
  <bookViews>
    <workbookView xWindow="-120" yWindow="-120" windowWidth="20730" windowHeight="11160" tabRatio="785" xr2:uid="{00000000-000D-0000-FFFF-FFFF00000000}"/>
  </bookViews>
  <sheets>
    <sheet name="Mapa_Planilha" sheetId="20" r:id="rId1"/>
    <sheet name="I-OR-2019" sheetId="27" r:id="rId2"/>
    <sheet name="I-CALCULO PASEP_COFINS 2019" sheetId="33" r:id="rId3"/>
    <sheet name="A-Aliq. Efetiva PASEP_COFINS" sheetId="34" r:id="rId4"/>
    <sheet name="A-Calculo OR Consol" sheetId="28" r:id="rId5"/>
    <sheet name="R-Compartilhamento OR" sheetId="29" r:id="rId6"/>
  </sheets>
  <externalReferences>
    <externalReference r:id="rId7"/>
  </externalReferences>
  <definedNames>
    <definedName name="ano_fim">[1]Menu!$D$20</definedName>
    <definedName name="fator_x">'[1]Fator X'!$B$46</definedName>
    <definedName name="P0_San_T">[1]P0_Sanepar!$B$5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7" l="1"/>
  <c r="J8" i="27"/>
  <c r="C8" i="27"/>
  <c r="B87" i="34" l="1"/>
  <c r="N123" i="33"/>
  <c r="N119" i="33"/>
  <c r="N102" i="33"/>
  <c r="N98" i="33"/>
  <c r="B81" i="33"/>
  <c r="B77" i="33" s="1"/>
  <c r="M77" i="33"/>
  <c r="H77" i="33"/>
  <c r="E77" i="33"/>
  <c r="D77" i="33"/>
  <c r="J73" i="33"/>
  <c r="I73" i="33"/>
  <c r="G73" i="33"/>
  <c r="F73" i="33"/>
  <c r="M73" i="33"/>
  <c r="L73" i="33"/>
  <c r="H73" i="33"/>
  <c r="E73" i="33"/>
  <c r="D73" i="33"/>
  <c r="B73" i="33"/>
  <c r="N71" i="33"/>
  <c r="N70" i="33"/>
  <c r="N69" i="33"/>
  <c r="N68" i="33"/>
  <c r="N67" i="33"/>
  <c r="C56" i="33"/>
  <c r="D65" i="33"/>
  <c r="N65" i="33" s="1"/>
  <c r="N64" i="33"/>
  <c r="M56" i="33"/>
  <c r="N62" i="33"/>
  <c r="N61" i="33"/>
  <c r="N60" i="33"/>
  <c r="K59" i="33"/>
  <c r="K56" i="33" s="1"/>
  <c r="J59" i="33"/>
  <c r="N58" i="33"/>
  <c r="E57" i="33"/>
  <c r="E56" i="33" s="1"/>
  <c r="D57" i="33"/>
  <c r="L56" i="33"/>
  <c r="I56" i="33"/>
  <c r="H56" i="33"/>
  <c r="G56" i="33"/>
  <c r="B56" i="33"/>
  <c r="F54" i="33"/>
  <c r="E54" i="33"/>
  <c r="D54" i="33"/>
  <c r="C41" i="33"/>
  <c r="J52" i="33"/>
  <c r="E52" i="33"/>
  <c r="F50" i="33"/>
  <c r="E50" i="33"/>
  <c r="E49" i="33"/>
  <c r="D49" i="33"/>
  <c r="E48" i="33"/>
  <c r="N48" i="33" s="1"/>
  <c r="F47" i="33"/>
  <c r="N46" i="33"/>
  <c r="N45" i="33"/>
  <c r="I44" i="33"/>
  <c r="I41" i="33" s="1"/>
  <c r="E44" i="33"/>
  <c r="F43" i="33"/>
  <c r="N43" i="33" s="1"/>
  <c r="M42" i="33"/>
  <c r="E42" i="33"/>
  <c r="D42" i="33"/>
  <c r="K41" i="33"/>
  <c r="H41" i="33"/>
  <c r="B41" i="33"/>
  <c r="M35" i="33"/>
  <c r="M36" i="33" s="1"/>
  <c r="H35" i="33"/>
  <c r="H36" i="33" s="1"/>
  <c r="E32" i="33"/>
  <c r="D32" i="33"/>
  <c r="C32" i="33"/>
  <c r="B32" i="33"/>
  <c r="D31" i="33"/>
  <c r="E30" i="33"/>
  <c r="D30" i="33"/>
  <c r="C30" i="33"/>
  <c r="E29" i="33"/>
  <c r="D29" i="33"/>
  <c r="C29" i="33"/>
  <c r="M25" i="33"/>
  <c r="K25" i="33"/>
  <c r="H25" i="33"/>
  <c r="E25" i="33"/>
  <c r="C25" i="33"/>
  <c r="B25" i="33"/>
  <c r="D23" i="33"/>
  <c r="L25" i="33"/>
  <c r="J25" i="33"/>
  <c r="M19" i="33"/>
  <c r="H19" i="33"/>
  <c r="B19" i="33"/>
  <c r="N18" i="33"/>
  <c r="D17" i="33"/>
  <c r="D16" i="33"/>
  <c r="C16" i="33"/>
  <c r="E15" i="33"/>
  <c r="E19" i="33" s="1"/>
  <c r="D15" i="33"/>
  <c r="C15" i="33"/>
  <c r="H14" i="33"/>
  <c r="B14" i="33"/>
  <c r="E13" i="33"/>
  <c r="D13" i="33"/>
  <c r="C13" i="33"/>
  <c r="D12" i="33"/>
  <c r="E11" i="33"/>
  <c r="D11" i="33"/>
  <c r="C11" i="33"/>
  <c r="E10" i="33"/>
  <c r="D10" i="33"/>
  <c r="C10" i="33"/>
  <c r="E7" i="33"/>
  <c r="D7" i="33"/>
  <c r="C7" i="33"/>
  <c r="E6" i="33"/>
  <c r="D6" i="33"/>
  <c r="C6" i="33"/>
  <c r="E5" i="33"/>
  <c r="D5" i="33"/>
  <c r="C5" i="33"/>
  <c r="M27" i="33" l="1"/>
  <c r="N52" i="33"/>
  <c r="N57" i="33"/>
  <c r="N42" i="33"/>
  <c r="B27" i="33"/>
  <c r="B108" i="33" s="1"/>
  <c r="N49" i="33"/>
  <c r="D14" i="33"/>
  <c r="C19" i="33"/>
  <c r="N50" i="33"/>
  <c r="E35" i="33"/>
  <c r="E36" i="33" s="1"/>
  <c r="E113" i="33" s="1"/>
  <c r="E114" i="33" s="1"/>
  <c r="E14" i="33"/>
  <c r="E27" i="33" s="1"/>
  <c r="B56" i="34"/>
  <c r="H27" i="33"/>
  <c r="H38" i="33" s="1"/>
  <c r="H83" i="33"/>
  <c r="H88" i="33" s="1"/>
  <c r="B83" i="33"/>
  <c r="B109" i="33" s="1"/>
  <c r="C35" i="33"/>
  <c r="C36" i="33" s="1"/>
  <c r="C92" i="33" s="1"/>
  <c r="C93" i="33" s="1"/>
  <c r="M41" i="33"/>
  <c r="M83" i="33" s="1"/>
  <c r="L77" i="33"/>
  <c r="I25" i="33"/>
  <c r="I77" i="33"/>
  <c r="I83" i="33" s="1"/>
  <c r="N97" i="33"/>
  <c r="N26" i="33"/>
  <c r="G35" i="33"/>
  <c r="G36" i="33" s="1"/>
  <c r="G92" i="33" s="1"/>
  <c r="G93" i="33" s="1"/>
  <c r="N34" i="33"/>
  <c r="C73" i="33"/>
  <c r="B90" i="34"/>
  <c r="G19" i="33"/>
  <c r="L19" i="33"/>
  <c r="I35" i="33"/>
  <c r="I36" i="33" s="1"/>
  <c r="I113" i="33" s="1"/>
  <c r="I114" i="33" s="1"/>
  <c r="I19" i="33"/>
  <c r="N5" i="33"/>
  <c r="F14" i="33"/>
  <c r="N13" i="33"/>
  <c r="K19" i="33"/>
  <c r="L41" i="33"/>
  <c r="J41" i="33"/>
  <c r="F56" i="33"/>
  <c r="B41" i="34"/>
  <c r="J14" i="33"/>
  <c r="N7" i="33"/>
  <c r="N12" i="33"/>
  <c r="K14" i="33"/>
  <c r="N15" i="33"/>
  <c r="N24" i="33"/>
  <c r="N30" i="33"/>
  <c r="N31" i="33"/>
  <c r="N32" i="33"/>
  <c r="G41" i="33"/>
  <c r="N51" i="33"/>
  <c r="N66" i="33"/>
  <c r="N80" i="33"/>
  <c r="N8" i="33"/>
  <c r="N9" i="33"/>
  <c r="N10" i="33"/>
  <c r="N16" i="33"/>
  <c r="N17" i="33"/>
  <c r="G25" i="33"/>
  <c r="N21" i="33"/>
  <c r="F35" i="33"/>
  <c r="F36" i="33" s="1"/>
  <c r="F113" i="33" s="1"/>
  <c r="F114" i="33" s="1"/>
  <c r="K35" i="33"/>
  <c r="K36" i="33" s="1"/>
  <c r="K113" i="33" s="1"/>
  <c r="K114" i="33" s="1"/>
  <c r="N33" i="33"/>
  <c r="F41" i="33"/>
  <c r="N53" i="33"/>
  <c r="K73" i="33"/>
  <c r="N79" i="33"/>
  <c r="N118" i="33"/>
  <c r="J19" i="33"/>
  <c r="B73" i="34"/>
  <c r="I14" i="33"/>
  <c r="N6" i="33"/>
  <c r="G14" i="33"/>
  <c r="F19" i="33"/>
  <c r="N23" i="33"/>
  <c r="J35" i="33"/>
  <c r="J36" i="33" s="1"/>
  <c r="J113" i="33" s="1"/>
  <c r="J114" i="33" s="1"/>
  <c r="D41" i="33"/>
  <c r="G77" i="33"/>
  <c r="C77" i="33"/>
  <c r="C83" i="33" s="1"/>
  <c r="J77" i="33"/>
  <c r="B35" i="34"/>
  <c r="B77" i="34"/>
  <c r="B108" i="34"/>
  <c r="B111" i="34" s="1"/>
  <c r="B129" i="34" s="1"/>
  <c r="E92" i="33"/>
  <c r="E93" i="33" s="1"/>
  <c r="H108" i="33"/>
  <c r="H87" i="33"/>
  <c r="I92" i="33"/>
  <c r="I93" i="33" s="1"/>
  <c r="C14" i="33"/>
  <c r="M108" i="33"/>
  <c r="M87" i="33"/>
  <c r="H92" i="33"/>
  <c r="H93" i="33" s="1"/>
  <c r="H113" i="33"/>
  <c r="H114" i="33" s="1"/>
  <c r="M113" i="33"/>
  <c r="M114" i="33" s="1"/>
  <c r="M92" i="33"/>
  <c r="M93" i="33" s="1"/>
  <c r="N47" i="33"/>
  <c r="N75" i="33"/>
  <c r="N74" i="33"/>
  <c r="L14" i="33"/>
  <c r="N11" i="33"/>
  <c r="D25" i="33"/>
  <c r="L35" i="33"/>
  <c r="L36" i="33" s="1"/>
  <c r="B35" i="33"/>
  <c r="B36" i="33" s="1"/>
  <c r="N44" i="33"/>
  <c r="N54" i="33"/>
  <c r="D56" i="33"/>
  <c r="F77" i="33"/>
  <c r="N78" i="33"/>
  <c r="K77" i="33"/>
  <c r="N81" i="33"/>
  <c r="F25" i="33"/>
  <c r="D19" i="33"/>
  <c r="N20" i="33"/>
  <c r="N22" i="33"/>
  <c r="D35" i="33"/>
  <c r="D36" i="33" s="1"/>
  <c r="N29" i="33"/>
  <c r="M38" i="33"/>
  <c r="E41" i="33"/>
  <c r="E83" i="33" s="1"/>
  <c r="J56" i="33"/>
  <c r="N59" i="33"/>
  <c r="B88" i="33" l="1"/>
  <c r="F27" i="33"/>
  <c r="L27" i="33"/>
  <c r="L38" i="33" s="1"/>
  <c r="B87" i="33"/>
  <c r="H109" i="33"/>
  <c r="D83" i="33"/>
  <c r="D109" i="33" s="1"/>
  <c r="L83" i="33"/>
  <c r="L109" i="33" s="1"/>
  <c r="F83" i="33"/>
  <c r="F88" i="33" s="1"/>
  <c r="G113" i="33"/>
  <c r="G114" i="33" s="1"/>
  <c r="E38" i="33"/>
  <c r="E108" i="33"/>
  <c r="E87" i="33"/>
  <c r="E90" i="33" s="1"/>
  <c r="I27" i="33"/>
  <c r="I87" i="33" s="1"/>
  <c r="C27" i="33"/>
  <c r="C108" i="33" s="1"/>
  <c r="C113" i="33"/>
  <c r="C114" i="33" s="1"/>
  <c r="F92" i="33"/>
  <c r="F93" i="33" s="1"/>
  <c r="N56" i="33"/>
  <c r="D27" i="33"/>
  <c r="D38" i="33" s="1"/>
  <c r="J92" i="33"/>
  <c r="J93" i="33" s="1"/>
  <c r="B127" i="34"/>
  <c r="B131" i="34" s="1"/>
  <c r="N41" i="33"/>
  <c r="G83" i="33"/>
  <c r="G109" i="33" s="1"/>
  <c r="K92" i="33"/>
  <c r="K93" i="33" s="1"/>
  <c r="K83" i="33"/>
  <c r="K88" i="33" s="1"/>
  <c r="K27" i="33"/>
  <c r="B83" i="34"/>
  <c r="G27" i="33"/>
  <c r="J83" i="33"/>
  <c r="J88" i="33" s="1"/>
  <c r="N35" i="33"/>
  <c r="N36" i="33" s="1"/>
  <c r="C109" i="33"/>
  <c r="C88" i="33"/>
  <c r="J27" i="33"/>
  <c r="B113" i="34"/>
  <c r="B114" i="34" s="1"/>
  <c r="B116" i="34" s="1"/>
  <c r="B36" i="34"/>
  <c r="B92" i="34"/>
  <c r="F38" i="33"/>
  <c r="F108" i="33"/>
  <c r="F87" i="33"/>
  <c r="D87" i="33"/>
  <c r="E88" i="33"/>
  <c r="E109" i="33"/>
  <c r="M88" i="33"/>
  <c r="M90" i="33" s="1"/>
  <c r="M109" i="33"/>
  <c r="M111" i="33" s="1"/>
  <c r="B113" i="33"/>
  <c r="B92" i="33"/>
  <c r="L108" i="33"/>
  <c r="L87" i="33"/>
  <c r="N14" i="33"/>
  <c r="B111" i="33"/>
  <c r="N19" i="33"/>
  <c r="D92" i="33"/>
  <c r="D93" i="33" s="1"/>
  <c r="D113" i="33"/>
  <c r="D114" i="33" s="1"/>
  <c r="B90" i="33"/>
  <c r="N25" i="33"/>
  <c r="L92" i="33"/>
  <c r="L93" i="33" s="1"/>
  <c r="L113" i="33"/>
  <c r="L114" i="33" s="1"/>
  <c r="N73" i="33"/>
  <c r="H111" i="33"/>
  <c r="B38" i="33"/>
  <c r="F109" i="33"/>
  <c r="N77" i="33"/>
  <c r="I109" i="33"/>
  <c r="I88" i="33"/>
  <c r="H90" i="33"/>
  <c r="K109" i="33" l="1"/>
  <c r="L88" i="33"/>
  <c r="D88" i="33"/>
  <c r="C38" i="33"/>
  <c r="G88" i="33"/>
  <c r="C87" i="33"/>
  <c r="C90" i="33" s="1"/>
  <c r="D108" i="33"/>
  <c r="J109" i="33"/>
  <c r="N109" i="33" s="1"/>
  <c r="I90" i="33"/>
  <c r="I127" i="33" s="1"/>
  <c r="I108" i="33"/>
  <c r="I111" i="33" s="1"/>
  <c r="I38" i="33"/>
  <c r="N27" i="33"/>
  <c r="N83" i="33"/>
  <c r="L111" i="33"/>
  <c r="L116" i="33" s="1"/>
  <c r="L121" i="33" s="1"/>
  <c r="L125" i="33" s="1"/>
  <c r="K38" i="33"/>
  <c r="K87" i="33"/>
  <c r="K90" i="33" s="1"/>
  <c r="K108" i="33"/>
  <c r="K111" i="33" s="1"/>
  <c r="B38" i="34"/>
  <c r="B93" i="34"/>
  <c r="C111" i="33"/>
  <c r="G87" i="33"/>
  <c r="G108" i="33"/>
  <c r="G111" i="33" s="1"/>
  <c r="G38" i="33"/>
  <c r="J38" i="33"/>
  <c r="J108" i="33"/>
  <c r="J87" i="33"/>
  <c r="J90" i="33" s="1"/>
  <c r="J127" i="33" s="1"/>
  <c r="L90" i="33"/>
  <c r="L127" i="33" s="1"/>
  <c r="B121" i="34"/>
  <c r="B125" i="34" s="1"/>
  <c r="M95" i="33"/>
  <c r="M127" i="33"/>
  <c r="F111" i="33"/>
  <c r="B127" i="33"/>
  <c r="B93" i="33"/>
  <c r="N93" i="33" s="1"/>
  <c r="N92" i="33"/>
  <c r="M116" i="33"/>
  <c r="M129" i="33"/>
  <c r="E111" i="33"/>
  <c r="H116" i="33"/>
  <c r="H129" i="33"/>
  <c r="B129" i="33"/>
  <c r="N113" i="33"/>
  <c r="N114" i="33" s="1"/>
  <c r="B114" i="33"/>
  <c r="B116" i="33" s="1"/>
  <c r="D111" i="33"/>
  <c r="D90" i="33"/>
  <c r="H95" i="33"/>
  <c r="H127" i="33"/>
  <c r="E95" i="33"/>
  <c r="E127" i="33"/>
  <c r="L129" i="33"/>
  <c r="F90" i="33"/>
  <c r="N88" i="33" l="1"/>
  <c r="I129" i="33"/>
  <c r="I116" i="33"/>
  <c r="I121" i="33" s="1"/>
  <c r="I125" i="33" s="1"/>
  <c r="G90" i="33"/>
  <c r="G127" i="33" s="1"/>
  <c r="I95" i="33"/>
  <c r="I100" i="33" s="1"/>
  <c r="I104" i="33" s="1"/>
  <c r="L131" i="33"/>
  <c r="J95" i="33"/>
  <c r="J100" i="33" s="1"/>
  <c r="J104" i="33" s="1"/>
  <c r="J111" i="33"/>
  <c r="J116" i="33" s="1"/>
  <c r="J135" i="33" s="1"/>
  <c r="H131" i="33"/>
  <c r="L135" i="33"/>
  <c r="B135" i="34"/>
  <c r="N38" i="33"/>
  <c r="L95" i="33"/>
  <c r="L133" i="33" s="1"/>
  <c r="K95" i="33"/>
  <c r="K100" i="33" s="1"/>
  <c r="K104" i="33" s="1"/>
  <c r="K127" i="33"/>
  <c r="K116" i="33"/>
  <c r="K121" i="33" s="1"/>
  <c r="K125" i="33" s="1"/>
  <c r="K129" i="33"/>
  <c r="B95" i="34"/>
  <c r="G116" i="33"/>
  <c r="G121" i="33" s="1"/>
  <c r="G125" i="33" s="1"/>
  <c r="G129" i="33"/>
  <c r="I131" i="33"/>
  <c r="N108" i="33"/>
  <c r="N111" i="33" s="1"/>
  <c r="N129" i="33" s="1"/>
  <c r="C116" i="33"/>
  <c r="C129" i="33"/>
  <c r="C95" i="33"/>
  <c r="C127" i="33"/>
  <c r="N87" i="33"/>
  <c r="N90" i="33" s="1"/>
  <c r="N127" i="33" s="1"/>
  <c r="B121" i="33"/>
  <c r="B135" i="33"/>
  <c r="D116" i="33"/>
  <c r="D129" i="33"/>
  <c r="F95" i="33"/>
  <c r="F127" i="33"/>
  <c r="D95" i="33"/>
  <c r="D127" i="33"/>
  <c r="K135" i="33"/>
  <c r="F116" i="33"/>
  <c r="F129" i="33"/>
  <c r="M131" i="33"/>
  <c r="H100" i="33"/>
  <c r="H104" i="33" s="1"/>
  <c r="H133" i="33"/>
  <c r="I135" i="33"/>
  <c r="E100" i="33"/>
  <c r="E104" i="33" s="1"/>
  <c r="E133" i="33"/>
  <c r="E116" i="33"/>
  <c r="E129" i="33"/>
  <c r="E131" i="33" s="1"/>
  <c r="M121" i="33"/>
  <c r="M125" i="33" s="1"/>
  <c r="M135" i="33"/>
  <c r="B131" i="33"/>
  <c r="M100" i="33"/>
  <c r="M104" i="33" s="1"/>
  <c r="M133" i="33"/>
  <c r="H121" i="33"/>
  <c r="H125" i="33" s="1"/>
  <c r="H135" i="33"/>
  <c r="B95" i="33"/>
  <c r="G135" i="33" l="1"/>
  <c r="G95" i="33"/>
  <c r="G131" i="33"/>
  <c r="I133" i="33"/>
  <c r="I137" i="33" s="1"/>
  <c r="J121" i="33"/>
  <c r="J125" i="33" s="1"/>
  <c r="J133" i="33"/>
  <c r="J137" i="33" s="1"/>
  <c r="K131" i="33"/>
  <c r="L137" i="33"/>
  <c r="J129" i="33"/>
  <c r="J131" i="33" s="1"/>
  <c r="L100" i="33"/>
  <c r="L104" i="33" s="1"/>
  <c r="L139" i="33" s="1"/>
  <c r="K133" i="33"/>
  <c r="K137" i="33" s="1"/>
  <c r="N116" i="33"/>
  <c r="N135" i="33" s="1"/>
  <c r="N131" i="33"/>
  <c r="B133" i="34"/>
  <c r="B137" i="34" s="1"/>
  <c r="B100" i="34"/>
  <c r="C135" i="33"/>
  <c r="C121" i="33"/>
  <c r="C125" i="33" s="1"/>
  <c r="C131" i="33"/>
  <c r="K139" i="33"/>
  <c r="C100" i="33"/>
  <c r="C104" i="33" s="1"/>
  <c r="C133" i="33"/>
  <c r="I139" i="33"/>
  <c r="M139" i="33"/>
  <c r="D131" i="33"/>
  <c r="J139" i="33"/>
  <c r="D100" i="33"/>
  <c r="D104" i="33" s="1"/>
  <c r="D133" i="33"/>
  <c r="M137" i="33"/>
  <c r="F121" i="33"/>
  <c r="F125" i="33" s="1"/>
  <c r="F135" i="33"/>
  <c r="N95" i="33"/>
  <c r="N133" i="33" s="1"/>
  <c r="B100" i="33"/>
  <c r="B133" i="33"/>
  <c r="B137" i="33" s="1"/>
  <c r="H137" i="33"/>
  <c r="F131" i="33"/>
  <c r="E121" i="33"/>
  <c r="E125" i="33" s="1"/>
  <c r="E139" i="33" s="1"/>
  <c r="E135" i="33"/>
  <c r="E137" i="33" s="1"/>
  <c r="D121" i="33"/>
  <c r="D125" i="33" s="1"/>
  <c r="D135" i="33"/>
  <c r="H139" i="33"/>
  <c r="F100" i="33"/>
  <c r="F104" i="33" s="1"/>
  <c r="F133" i="33"/>
  <c r="B125" i="33"/>
  <c r="D15" i="29" l="1"/>
  <c r="D11" i="29"/>
  <c r="D10" i="29"/>
  <c r="D14" i="29"/>
  <c r="D13" i="29"/>
  <c r="D12" i="29"/>
  <c r="G100" i="33"/>
  <c r="G104" i="33" s="1"/>
  <c r="G139" i="33" s="1"/>
  <c r="G133" i="33"/>
  <c r="G137" i="33" s="1"/>
  <c r="N137" i="33"/>
  <c r="F137" i="33"/>
  <c r="C139" i="33"/>
  <c r="N121" i="33"/>
  <c r="N125" i="33" s="1"/>
  <c r="B104" i="34"/>
  <c r="B139" i="34" s="1"/>
  <c r="C137" i="33"/>
  <c r="F139" i="33"/>
  <c r="D137" i="33"/>
  <c r="D139" i="33"/>
  <c r="B104" i="33"/>
  <c r="B139" i="33" s="1"/>
  <c r="N100" i="33"/>
  <c r="N104" i="33" s="1"/>
  <c r="N139" i="33" l="1"/>
  <c r="E13" i="29" l="1"/>
  <c r="F13" i="29" s="1"/>
  <c r="M28" i="27" l="1"/>
  <c r="L28" i="27"/>
  <c r="K28" i="27"/>
  <c r="J28" i="27"/>
  <c r="J30" i="27" s="1"/>
  <c r="I28" i="27"/>
  <c r="H28" i="27"/>
  <c r="G28" i="27"/>
  <c r="F28" i="27"/>
  <c r="E28" i="27"/>
  <c r="D28" i="27"/>
  <c r="C28" i="27"/>
  <c r="O27" i="27"/>
  <c r="C26" i="28" s="1"/>
  <c r="O26" i="27"/>
  <c r="C25" i="28" s="1"/>
  <c r="O25" i="27"/>
  <c r="C24" i="28" s="1"/>
  <c r="O24" i="27"/>
  <c r="C23" i="28" s="1"/>
  <c r="O23" i="27"/>
  <c r="C22" i="28" s="1"/>
  <c r="O22" i="27"/>
  <c r="C21" i="28" s="1"/>
  <c r="O21" i="27"/>
  <c r="C20" i="28" s="1"/>
  <c r="C12" i="29" s="1"/>
  <c r="O20" i="27"/>
  <c r="O19" i="27"/>
  <c r="C19" i="28" s="1"/>
  <c r="O18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O14" i="27"/>
  <c r="C14" i="28" s="1"/>
  <c r="O13" i="27"/>
  <c r="C13" i="28" s="1"/>
  <c r="O12" i="27"/>
  <c r="C12" i="28" s="1"/>
  <c r="O11" i="27"/>
  <c r="C11" i="28" s="1"/>
  <c r="N8" i="27"/>
  <c r="M8" i="27"/>
  <c r="L8" i="27"/>
  <c r="K8" i="27"/>
  <c r="I8" i="27"/>
  <c r="H8" i="27"/>
  <c r="G8" i="27"/>
  <c r="G30" i="27" s="1"/>
  <c r="F8" i="27"/>
  <c r="E8" i="27"/>
  <c r="D8" i="27"/>
  <c r="O7" i="27"/>
  <c r="C7" i="28" s="1"/>
  <c r="O6" i="27"/>
  <c r="C6" i="28" s="1"/>
  <c r="O5" i="27"/>
  <c r="C5" i="28" s="1"/>
  <c r="O4" i="27"/>
  <c r="C4" i="28" s="1"/>
  <c r="O3" i="27"/>
  <c r="C3" i="28" s="1"/>
  <c r="H30" i="27" l="1"/>
  <c r="I30" i="27"/>
  <c r="C30" i="27"/>
  <c r="C18" i="28"/>
  <c r="C14" i="29" s="1"/>
  <c r="O28" i="27"/>
  <c r="C15" i="29"/>
  <c r="K30" i="27"/>
  <c r="E30" i="27"/>
  <c r="L30" i="27"/>
  <c r="M30" i="27"/>
  <c r="F30" i="27"/>
  <c r="N30" i="27"/>
  <c r="D30" i="27"/>
  <c r="E12" i="29"/>
  <c r="F12" i="29" s="1"/>
  <c r="O8" i="27"/>
  <c r="O30" i="27" s="1"/>
  <c r="O15" i="27"/>
  <c r="C15" i="28"/>
  <c r="C11" i="29" s="1"/>
  <c r="C8" i="28"/>
  <c r="C10" i="29" s="1"/>
  <c r="C27" i="28" l="1"/>
  <c r="C29" i="28"/>
  <c r="B3" i="29" s="1"/>
  <c r="E14" i="29"/>
  <c r="F14" i="29" s="1"/>
  <c r="E15" i="29"/>
  <c r="F15" i="29" s="1"/>
  <c r="E10" i="29" l="1"/>
  <c r="F10" i="29" s="1"/>
  <c r="E11" i="29"/>
  <c r="F11" i="29" s="1"/>
  <c r="C6" i="29" l="1"/>
  <c r="C17" i="29" s="1"/>
  <c r="F16" i="29"/>
  <c r="B18" i="29" s="1"/>
  <c r="C16" i="29"/>
</calcChain>
</file>

<file path=xl/sharedStrings.xml><?xml version="1.0" encoding="utf-8"?>
<sst xmlns="http://schemas.openxmlformats.org/spreadsheetml/2006/main" count="398" uniqueCount="232">
  <si>
    <t>Resultados - Abas com nome iniciando com R-</t>
  </si>
  <si>
    <t>Aba</t>
  </si>
  <si>
    <t>Insumos/Base de dados - Abas com o nome iniciando com I-</t>
  </si>
  <si>
    <t>Auxílio/Cálculos Intermediários - Insumos que receberam algum tratamento, ou cálculos necessários para se atingir o resultado final - Abas com nome iniciando com A-</t>
  </si>
  <si>
    <t>Insumos</t>
  </si>
  <si>
    <t>Auxílio/Cálculos Intermediários</t>
  </si>
  <si>
    <t>Resultados</t>
  </si>
  <si>
    <t>1-Contexto e Objetivo da Planilha</t>
  </si>
  <si>
    <t>2-Tipos de Abas</t>
  </si>
  <si>
    <t>3-Conteúdo das Abas</t>
  </si>
  <si>
    <t>Descrição</t>
  </si>
  <si>
    <t>4-Fluxo de informação entre Abas da Planilha</t>
  </si>
  <si>
    <t>TOTAL</t>
  </si>
  <si>
    <t>SERVIÇOS DE AGUA</t>
  </si>
  <si>
    <t>31-121</t>
  </si>
  <si>
    <t>Ligações</t>
  </si>
  <si>
    <t>31-123</t>
  </si>
  <si>
    <t>Religações</t>
  </si>
  <si>
    <t>31-124</t>
  </si>
  <si>
    <t>Conserto de Hidrômetros</t>
  </si>
  <si>
    <t>31-125</t>
  </si>
  <si>
    <t>Ampliações</t>
  </si>
  <si>
    <t>31-128</t>
  </si>
  <si>
    <t>Outros</t>
  </si>
  <si>
    <t>SERVIÇOS DE ESGOTO</t>
  </si>
  <si>
    <t>31-221</t>
  </si>
  <si>
    <t>31-224</t>
  </si>
  <si>
    <t>Conserto de Ramais</t>
  </si>
  <si>
    <t>31-225</t>
  </si>
  <si>
    <t>31-228</t>
  </si>
  <si>
    <t>OUTRAS RECEITAS OPERACIONAIS</t>
  </si>
  <si>
    <t>33-111</t>
  </si>
  <si>
    <t>Serviços de Laboratório</t>
  </si>
  <si>
    <t>33-112</t>
  </si>
  <si>
    <t>Serviços de Manutenção</t>
  </si>
  <si>
    <t>33-113</t>
  </si>
  <si>
    <t>Serviços de Porjeto e Assistência Técnica</t>
  </si>
  <si>
    <t>33-116</t>
  </si>
  <si>
    <t>Serviços Prestados as Prefeituras</t>
  </si>
  <si>
    <t>33-117</t>
  </si>
  <si>
    <t>Serviços de Carga e Descarga</t>
  </si>
  <si>
    <t>33-118</t>
  </si>
  <si>
    <t>Insc. Cadastral e Venda de Elem. E Materiais</t>
  </si>
  <si>
    <t>33-212</t>
  </si>
  <si>
    <t>Indenização e Ressarcimento de Despesas</t>
  </si>
  <si>
    <t>33-215</t>
  </si>
  <si>
    <t>Locação de Imóveis</t>
  </si>
  <si>
    <t>33-216</t>
  </si>
  <si>
    <t>Cessão para exploração de Serviços Financeiros</t>
  </si>
  <si>
    <t>33-219</t>
  </si>
  <si>
    <t>Outras Receitas Menores</t>
  </si>
  <si>
    <t>Com Pasep/Cofins</t>
  </si>
  <si>
    <t>Sem Pasep/Cofins</t>
  </si>
  <si>
    <t>Receitas de Serviços (Água)</t>
  </si>
  <si>
    <t>Receitas de Serviços (Esgoto)</t>
  </si>
  <si>
    <t>Serviços Prestados a Prefeituras (Água)</t>
  </si>
  <si>
    <t>Serviços Prestados a Prefeituras (Esgoto)</t>
  </si>
  <si>
    <t>Outras Receitas Operacionais (Água)</t>
  </si>
  <si>
    <t>Outras Receitas Operacionais (Esgoto)</t>
  </si>
  <si>
    <t>212-215-216-219</t>
  </si>
  <si>
    <t>Outras Receitas (R$)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</si>
  <si>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</si>
  <si>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</si>
  <si>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</si>
  <si>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</si>
  <si>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</si>
  <si>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</si>
  <si>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</si>
  <si>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</si>
  <si>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</si>
  <si>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</si>
  <si>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</si>
  <si>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</si>
  <si>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Informações contábeis da SANEPAR - Outras Receitas 2019</t>
  </si>
  <si>
    <t>I-OR-2019</t>
  </si>
  <si>
    <t>Cálculo que compila as informações de insumos para a apuração de Outras Receitas de 2017 a 2019</t>
  </si>
  <si>
    <t>Total de Outras Receitas para Base de Cálculo no compartilhamento</t>
  </si>
  <si>
    <t>Tabela: Outras Receitas consolidada</t>
  </si>
  <si>
    <t>Descrição de Outras Receitas</t>
  </si>
  <si>
    <t>Códigos Contábeis</t>
  </si>
  <si>
    <t>CÓD. DARF:  COFINS 5856 / PASEP 6912</t>
  </si>
  <si>
    <t>Débitos Receitas Operacionais - Alíquota 7,6%</t>
  </si>
  <si>
    <t>(-) Créditos da COFINS  -  Alíquota 7,6%</t>
  </si>
  <si>
    <t>COFINS APURADA - RECEITA OPERACIONAL</t>
  </si>
  <si>
    <t>Débitos Receitas Financeiras  - Alíquota 4%</t>
  </si>
  <si>
    <t>COFINS APURADA - RECEITA FINANCEIRA</t>
  </si>
  <si>
    <t>COFINS DEVIDA</t>
  </si>
  <si>
    <t>(-) Retenção de Órgãos Públicos</t>
  </si>
  <si>
    <t>(-) Retenções da A.N.A.</t>
  </si>
  <si>
    <t>COFINS A RECOLHER</t>
  </si>
  <si>
    <t>(-) Compensação DCOMP</t>
  </si>
  <si>
    <t>COFINS LÍQUIDA A RECOLHER</t>
  </si>
  <si>
    <t>Débitos Receitas Operacionais - Alíquota 1,65%</t>
  </si>
  <si>
    <t>(-) Créditos do PASEP  -  Alíquota 1,65%</t>
  </si>
  <si>
    <t>PASEP APURADO - RECEITA OPERACIONAL</t>
  </si>
  <si>
    <t>Débitos Receitas Financeiras  - Alíquota 0,65%</t>
  </si>
  <si>
    <t>PASEP APURADO - RECEITA FINANCEIRA</t>
  </si>
  <si>
    <t>PASEP DEVIDO</t>
  </si>
  <si>
    <t>PASEP A RECOLHER</t>
  </si>
  <si>
    <t>PASEP LÍQUIDO A RECOLHER</t>
  </si>
  <si>
    <t>% efetiva  - receita operacional - COFINS</t>
  </si>
  <si>
    <t>% efetiva  - receita operacional - PASEP</t>
  </si>
  <si>
    <t>Total Alíquota Efetiva - Receita Operacional</t>
  </si>
  <si>
    <t>% efetiva  - receita total - COFINS</t>
  </si>
  <si>
    <t>% efetiva  - receita total - PASEP</t>
  </si>
  <si>
    <t>Total Alíquota Efetiva - Receita Total</t>
  </si>
  <si>
    <t>TOTAL (COFINS + PASEP) A RECOLHER</t>
  </si>
  <si>
    <t>COFINS - APURAÇÃO DA BASE DE CÁLCULO - CONTRIBUIÇÃO DEVIDA EM REAIS - 2019 - DARF 5856</t>
  </si>
  <si>
    <t xml:space="preserve"> PASEP -  APURAÇÃO DA BASE DE CÁLCULO -  CONTRIBUIÇÃO DEVIDA EM REAIS  -  2019  - DARF 6912 </t>
  </si>
  <si>
    <t>RECEITAS</t>
  </si>
  <si>
    <t>31 110 - Tarifas de Água - Potável</t>
  </si>
  <si>
    <t xml:space="preserve">31 120 - Serviços de Água - Potável </t>
  </si>
  <si>
    <t>31 130 - Tarifas de Água - Industrial</t>
  </si>
  <si>
    <t>31 140 - Serviços de Água - Industrial</t>
  </si>
  <si>
    <t>31 150 - Outras Receitas Serviços de Água - (ANA)</t>
  </si>
  <si>
    <t>31 210 - Tarifas de Esgoto</t>
  </si>
  <si>
    <t>31 220 - Serviços de Esgoto</t>
  </si>
  <si>
    <t xml:space="preserve">31 230 - Outras Receitas Serviços de Esgoto - (ANA) </t>
  </si>
  <si>
    <t>31 400 - Receitas de Resíduos Sólidos</t>
  </si>
  <si>
    <t>33 100 - Receitas Serviços Técnicos Administrativos</t>
  </si>
  <si>
    <t>33 200 - Outras Receitas Operacionais</t>
  </si>
  <si>
    <t xml:space="preserve">33 300 - Receitas Não Operacionais </t>
  </si>
  <si>
    <t>33 400 - Receitas de Participação Outras Sociedades</t>
  </si>
  <si>
    <t xml:space="preserve">(-) 33 213 - Contribuições e Doações Orgãos Públicos </t>
  </si>
  <si>
    <t>(-) 33 214 - Ganhos com Recuperação de Créditos Fiscais</t>
  </si>
  <si>
    <t>(-) 33 311 / 312 - Venda de Bens Ativo Imobilizado e Investim.</t>
  </si>
  <si>
    <t>(-) 33 319 - Ajuste Positivo a Valor de Mercado TVM E INS</t>
  </si>
  <si>
    <t>(-) 33 400 - Receitas de Participação Outras Sociedades</t>
  </si>
  <si>
    <t>TOTAL DE EXCLUSÕES</t>
  </si>
  <si>
    <t>32 123 - Juros sobre Capital Próprio de Investimentos</t>
  </si>
  <si>
    <t>BASE DE CÁLCULO - RECEITAS OPERACIONAIS</t>
  </si>
  <si>
    <t>32 100 - Receitas Financeiras</t>
  </si>
  <si>
    <t>(-) 32 118 - Receitas AVP s/ Ativos Financeiros Contratuais</t>
  </si>
  <si>
    <t>(-) 32 119 - Ajuste a Valor Presente</t>
  </si>
  <si>
    <t xml:space="preserve">(-) 32 123 - JCP Recebido </t>
  </si>
  <si>
    <t>TOTAL RECEITAS FINANCEIRAS</t>
  </si>
  <si>
    <t>BASE DE CÁLCULO - RECEITAS FINANCEIRAS</t>
  </si>
  <si>
    <t>BASE DE CÁLCULO TOTAL</t>
  </si>
  <si>
    <t>CRÉDITOS DE INSUMOS E OUTROS</t>
  </si>
  <si>
    <t xml:space="preserve">INSUMOS </t>
  </si>
  <si>
    <t xml:space="preserve">SERVIÇOS </t>
  </si>
  <si>
    <t xml:space="preserve">DEPRECIAÇÕES/AMORTIZAÇÕES </t>
  </si>
  <si>
    <t>(-) Amortização do Leasing Financeiro</t>
  </si>
  <si>
    <t>TOTAL DE CRÉDITOS</t>
  </si>
  <si>
    <t>ARRENDAMENTO MERCANTIL FINANCEIRO</t>
  </si>
  <si>
    <t>Arrendamento Mercantil Financeiro</t>
  </si>
  <si>
    <t>(-) 32 133 - Variações Cambiais Ativas</t>
  </si>
  <si>
    <t>(-) 32 134 - Variação Swap - Positiva</t>
  </si>
  <si>
    <t>319 - Alugueis de imóveis (total)</t>
  </si>
  <si>
    <t xml:space="preserve">PAGAMENTOS ARRENDAMENTO MERCANTIL </t>
  </si>
  <si>
    <t>Arrendamento Mercantil Operacional</t>
  </si>
  <si>
    <t>(-) Amortização do Leasing Operacional</t>
  </si>
  <si>
    <t>Aliq. Efetiva Pasep/Cofins</t>
  </si>
  <si>
    <t>PASEP/COFINS</t>
  </si>
  <si>
    <t>Compartilhamento de Outras Receitas para  2ª RTP com PASEP/COFINS</t>
  </si>
  <si>
    <t>Percentual de compartilhamento</t>
  </si>
  <si>
    <t>Reverter a Modicidade Tarifária (Compartilhamento Sem PASEP/COFINS)</t>
  </si>
  <si>
    <t>Compartilhamento com PASEP/COFINS</t>
  </si>
  <si>
    <r>
      <t xml:space="preserve">205 - Mat de manutenção eletromecanica </t>
    </r>
    <r>
      <rPr>
        <b/>
        <sz val="11"/>
        <rFont val="Calibri"/>
        <family val="2"/>
      </rPr>
      <t>(total)</t>
    </r>
  </si>
  <si>
    <r>
      <t xml:space="preserve">206 - Mat de laboratório </t>
    </r>
    <r>
      <rPr>
        <b/>
        <sz val="11"/>
        <rFont val="Calibri"/>
        <family val="2"/>
      </rPr>
      <t>(total)</t>
    </r>
  </si>
  <si>
    <r>
      <t xml:space="preserve">207 - Mat de tratamento </t>
    </r>
    <r>
      <rPr>
        <b/>
        <sz val="11"/>
        <rFont val="Calibri"/>
        <family val="2"/>
      </rPr>
      <t>(total)</t>
    </r>
  </si>
  <si>
    <r>
      <t xml:space="preserve">208 - Mat de manutenção de hidrômetros </t>
    </r>
    <r>
      <rPr>
        <b/>
        <sz val="11"/>
        <rFont val="Calibri"/>
        <family val="2"/>
      </rPr>
      <t>(total)</t>
    </r>
  </si>
  <si>
    <r>
      <t>215 - Mat de manutenção de cilindros de cloro</t>
    </r>
    <r>
      <rPr>
        <b/>
        <sz val="11"/>
        <rFont val="Calibri"/>
        <family val="2"/>
      </rPr>
      <t xml:space="preserve"> (total)</t>
    </r>
  </si>
  <si>
    <r>
      <t xml:space="preserve">216 - Mat. De manutenção de Redes </t>
    </r>
    <r>
      <rPr>
        <b/>
        <sz val="11"/>
        <rFont val="Calibri"/>
        <family val="2"/>
      </rPr>
      <t xml:space="preserve">(total) </t>
    </r>
  </si>
  <si>
    <r>
      <t>301 - Serv. Operação de Sistemas</t>
    </r>
    <r>
      <rPr>
        <b/>
        <sz val="11"/>
        <rFont val="Calibri"/>
        <family val="2"/>
      </rPr>
      <t xml:space="preserve"> (total)</t>
    </r>
  </si>
  <si>
    <r>
      <t xml:space="preserve">310 - Energia Elétrica </t>
    </r>
    <r>
      <rPr>
        <b/>
        <sz val="11"/>
        <rFont val="Calibri"/>
        <family val="2"/>
      </rPr>
      <t>(total)</t>
    </r>
  </si>
  <si>
    <r>
      <t xml:space="preserve">316 - Serviços de Laboratórios </t>
    </r>
    <r>
      <rPr>
        <b/>
        <sz val="11"/>
        <rFont val="Calibri"/>
        <family val="2"/>
      </rPr>
      <t>(total)</t>
    </r>
  </si>
  <si>
    <r>
      <t xml:space="preserve">322 - Serviços de Manutenção Eletromecânica </t>
    </r>
    <r>
      <rPr>
        <b/>
        <sz val="11"/>
        <rFont val="Calibri"/>
        <family val="2"/>
      </rPr>
      <t>(total)</t>
    </r>
  </si>
  <si>
    <r>
      <t>325 - Serv. de Desenv. e Manutenção Operacional</t>
    </r>
    <r>
      <rPr>
        <b/>
        <sz val="11"/>
        <rFont val="Calibri"/>
        <family val="2"/>
      </rPr>
      <t xml:space="preserve"> (total)</t>
    </r>
  </si>
  <si>
    <r>
      <t xml:space="preserve">326 - Serviços de manutenção de Redes </t>
    </r>
    <r>
      <rPr>
        <b/>
        <sz val="11"/>
        <rFont val="Calibri"/>
        <family val="2"/>
      </rPr>
      <t>(total)</t>
    </r>
  </si>
  <si>
    <r>
      <t xml:space="preserve">329 - Serviços Técnicos Operacionais </t>
    </r>
    <r>
      <rPr>
        <b/>
        <sz val="11"/>
        <rFont val="Calibri"/>
        <family val="2"/>
      </rPr>
      <t>(total)</t>
    </r>
  </si>
  <si>
    <r>
      <t xml:space="preserve">330 - Serviços de Remoção Resíduos Esgoto </t>
    </r>
    <r>
      <rPr>
        <b/>
        <sz val="11"/>
        <rFont val="Calibri"/>
        <family val="2"/>
      </rPr>
      <t>(total)</t>
    </r>
  </si>
  <si>
    <r>
      <t xml:space="preserve">332 - Serviços de Manutenção em Unidades Operacionais Água </t>
    </r>
    <r>
      <rPr>
        <b/>
        <sz val="11"/>
        <rFont val="Calibri"/>
        <family val="2"/>
      </rPr>
      <t>(total)</t>
    </r>
  </si>
  <si>
    <r>
      <t xml:space="preserve">Depreciações - Relats. Auxiliares </t>
    </r>
    <r>
      <rPr>
        <b/>
        <sz val="11"/>
        <rFont val="Calibri"/>
        <family val="2"/>
      </rPr>
      <t>(Aquis. a partir de mai/2004)</t>
    </r>
  </si>
  <si>
    <r>
      <t xml:space="preserve">Amortizações - Relats. Auxiliares </t>
    </r>
    <r>
      <rPr>
        <b/>
        <sz val="11"/>
        <rFont val="Calibri"/>
        <family val="2"/>
      </rPr>
      <t>(Aquis. a partir de mai/2004)</t>
    </r>
  </si>
  <si>
    <t>TOTAL DE CREDITOS</t>
  </si>
  <si>
    <t>PASEP - APURAÇÃO DA BASE DE CÁLCULO - CONTRIBUIÇÃO DEVIDA EM REAIS -2017 A 2019-  DARF 6912</t>
  </si>
  <si>
    <t>121-123-124-125-128</t>
  </si>
  <si>
    <t>221-224-225-228</t>
  </si>
  <si>
    <t>111-112-117-118</t>
  </si>
  <si>
    <t>TOTAL - OUTRAS RECEITAS</t>
  </si>
  <si>
    <t>Fonte: SANEPAR - Protocolo 17.002.046-4.</t>
  </si>
  <si>
    <t xml:space="preserve">TOTAL  RECEITAS OPERACIONAIS </t>
  </si>
  <si>
    <t xml:space="preserve">TOTAL OUTRAS RECEITAS OPERACIONAIS </t>
  </si>
  <si>
    <r>
      <t>202 - Mat operação de sistemas</t>
    </r>
    <r>
      <rPr>
        <b/>
        <sz val="11"/>
        <rFont val="Calibri"/>
        <family val="2"/>
      </rPr>
      <t xml:space="preserve"> </t>
    </r>
  </si>
  <si>
    <t xml:space="preserve">204 - Mat. de limpeza e higiene </t>
  </si>
  <si>
    <t xml:space="preserve">210 - Ferramentas perecíveis </t>
  </si>
  <si>
    <r>
      <t xml:space="preserve">211 - Mat de manutenção de veiculos </t>
    </r>
    <r>
      <rPr>
        <b/>
        <sz val="11"/>
        <rFont val="Calibri"/>
        <family val="2"/>
      </rPr>
      <t xml:space="preserve"> </t>
    </r>
  </si>
  <si>
    <t xml:space="preserve">212 - Combustíveis e lubrificantes  </t>
  </si>
  <si>
    <t>213 - Mat  de natureza permanente</t>
  </si>
  <si>
    <t>214 - Mat de segurança e proteção</t>
  </si>
  <si>
    <t xml:space="preserve">       CIA. DE SANEAMENTO DO PARANÁ - SANEPAR - APURAÇÃO DA COFINS E DO PASEP 2019</t>
  </si>
  <si>
    <t>Tabela 01 -  Outras Receitas 2019</t>
  </si>
  <si>
    <t xml:space="preserve">  COFINS/PASEP</t>
  </si>
  <si>
    <t xml:space="preserve">311 - Fretes e carretos </t>
  </si>
  <si>
    <t xml:space="preserve">303 - Serviços de Limpeza e Higiene </t>
  </si>
  <si>
    <r>
      <t xml:space="preserve">318 - Contratados </t>
    </r>
    <r>
      <rPr>
        <sz val="11"/>
        <rFont val="Calibri"/>
        <family val="2"/>
      </rPr>
      <t xml:space="preserve"> </t>
    </r>
  </si>
  <si>
    <t xml:space="preserve">323 - Serviços de Manutenção de Veículos </t>
  </si>
  <si>
    <t xml:space="preserve">333 - Serviços de Tratamento e Destinação de Resíduos Sólidos </t>
  </si>
  <si>
    <t xml:space="preserve">Tabela 02: Apuração PASEP/COFINS (2019) </t>
  </si>
  <si>
    <t>TOTAL  RECEITAS OPERACIONAIS</t>
  </si>
  <si>
    <t xml:space="preserve">205 - Mat de manutenção eletromecanica </t>
  </si>
  <si>
    <t xml:space="preserve">206 - Mat de laboratório </t>
  </si>
  <si>
    <t xml:space="preserve">207 - Mat de tratamento </t>
  </si>
  <si>
    <t>Tabela 03 - Cálculo intermediário para apuração da aliquota efetiva</t>
  </si>
  <si>
    <t xml:space="preserve">208 - Mat de manutenção de hidrômetros </t>
  </si>
  <si>
    <t>215 - Mat de manutenção de cilindros de cloro</t>
  </si>
  <si>
    <r>
      <t xml:space="preserve">216 - Mat. De manutenção de Redes </t>
    </r>
    <r>
      <rPr>
        <b/>
        <sz val="11"/>
        <rFont val="Calibri"/>
        <family val="2"/>
      </rPr>
      <t xml:space="preserve"> </t>
    </r>
  </si>
  <si>
    <r>
      <t>301 - Serv. Operação de Sistemas</t>
    </r>
    <r>
      <rPr>
        <b/>
        <sz val="11"/>
        <rFont val="Calibri"/>
        <family val="2"/>
      </rPr>
      <t xml:space="preserve"> </t>
    </r>
  </si>
  <si>
    <t xml:space="preserve">310 - Energia Elétrica </t>
  </si>
  <si>
    <t xml:space="preserve">316 - Serviços de Laboratórios </t>
  </si>
  <si>
    <t xml:space="preserve">319 - Alugueis de imóveis </t>
  </si>
  <si>
    <t xml:space="preserve">322 - Serviços de Manutenção Eletromecânica </t>
  </si>
  <si>
    <r>
      <t>325 - Serv. de Desenv. e Manutenção Operacional</t>
    </r>
    <r>
      <rPr>
        <b/>
        <sz val="11"/>
        <rFont val="Calibri"/>
        <family val="2"/>
      </rPr>
      <t xml:space="preserve"> </t>
    </r>
  </si>
  <si>
    <t xml:space="preserve">326 - Serviços de manutenção de Redes </t>
  </si>
  <si>
    <t xml:space="preserve">329 - Serviços Técnicos Operacionais </t>
  </si>
  <si>
    <t xml:space="preserve">330 - Serviços de Remoção Resíduos Esgoto </t>
  </si>
  <si>
    <t xml:space="preserve">332 - Serviços de Manutenção em Unidades Operacionais Água </t>
  </si>
  <si>
    <t>Fonte: SANEPAR - Protocolo 17.013.072-3. Elaboração: SANEPAR e AGEPAR (2020)</t>
  </si>
  <si>
    <t>Fonte: SANEPAR - Protocolo 17.013.072-3. Elaboração: Agepar (2020)</t>
  </si>
  <si>
    <t>Total Alíquota Efetiva - PASEP/COFINS</t>
  </si>
  <si>
    <t>Fonte: SANEPAR - Protocolo 17.002.046-4. Elaboração: Agepar (2020).</t>
  </si>
  <si>
    <t>Fonte: SANEPAR - Protocolo 17.002.046-4. . Elaboração: Agepar (2020).</t>
  </si>
  <si>
    <t>Tabela 2: Resumo Compartilhamento de Outras Receitas</t>
  </si>
  <si>
    <t>R-Compartilhamento OR</t>
  </si>
  <si>
    <t>Compilação dos resultados da estrutura de compartilhamento de outras receitas</t>
  </si>
  <si>
    <t>A-Cálculo OR Consol</t>
  </si>
  <si>
    <t>A-Aliq. Efetiva PASEP_COFINS</t>
  </si>
  <si>
    <t>I-CALCULO PASEP_COFINS 2019</t>
  </si>
  <si>
    <t>Cálculo intermediário para aferição de alíquota efetiva</t>
  </si>
  <si>
    <t>Informações sobre a apuração de PASEP e COFINS 2019</t>
  </si>
  <si>
    <r>
      <t>Esta planilha foi desenvolvida como parte integrante da 2ª Revisão Tarifária Periódica dos serviços de saneamento básico do Estado do Paraná. 
Seu conteúdo refere-se ao cálculo de Outras Receitas para o ciclo tarifário preliminar dos anos de 2021 e 2024. A metodologia adotada é descrita na Nota Técnica 005/2020.
Este documento se encontra em sua versão final para a 1a Fase da 2a RTP, considerando ajustes recebidos pela Consulta Pública 001/2021 e Audiência Pública 001/2021.
O resultados dos cálculos da planilha enc</t>
    </r>
    <r>
      <rPr>
        <sz val="11"/>
        <rFont val="Calibri"/>
        <family val="2"/>
      </rPr>
      <t>ontram-se na aba "R-Compartilhamento OR".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</si>
</sst>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0.000000%"/>
    <numFmt numFmtId="167" formatCode="#,##0.0000_);\(#,##0.0000\)"/>
    <numFmt numFmtId="168" formatCode="_-* #,##0.00000_-;\-* #,##0.00000_-;_-* &quot;-&quot;??_-;_-@_-"/>
    <numFmt numFmtId="169" formatCode="_-* #,##0.00000_-;\-* #,##0.00000_-;_-* &quot;-&quot;?????_-;_-@_-"/>
    <numFmt numFmtId="170" formatCode="0.000%"/>
    <numFmt numFmtId="171" formatCode="0.0000%"/>
  </numFmts>
  <fonts count="16" x14ac:knownFonts="1">
    <font>
      <sz val="11"/>
      <color theme="1"/>
      <name val="Calibri"/>
      <family val="2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indexed="18"/>
      <name val="Calibri"/>
      <family val="2"/>
    </font>
    <font>
      <b/>
      <sz val="12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355993"/>
      </left>
      <right/>
      <top style="thin">
        <color rgb="FF355993"/>
      </top>
      <bottom/>
      <diagonal/>
    </border>
    <border>
      <left/>
      <right style="thin">
        <color rgb="FF355993"/>
      </right>
      <top style="thin">
        <color rgb="FF355993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355993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0" fontId="5" fillId="0" borderId="0" xfId="0" applyFont="1"/>
    <xf numFmtId="0" fontId="4" fillId="0" borderId="0" xfId="0" applyFont="1"/>
    <xf numFmtId="0" fontId="6" fillId="3" borderId="1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0" xfId="0" applyFont="1" applyFill="1"/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/>
    <xf numFmtId="0" fontId="4" fillId="2" borderId="11" xfId="0" applyFont="1" applyFill="1" applyBorder="1"/>
    <xf numFmtId="0" fontId="4" fillId="2" borderId="7" xfId="0" applyFont="1" applyFill="1" applyBorder="1"/>
    <xf numFmtId="0" fontId="4" fillId="2" borderId="12" xfId="0" applyFont="1" applyFill="1" applyBorder="1"/>
    <xf numFmtId="0" fontId="6" fillId="4" borderId="14" xfId="0" applyFont="1" applyFill="1" applyBorder="1" applyAlignment="1">
      <alignment horizontal="center" wrapText="1"/>
    </xf>
    <xf numFmtId="4" fontId="6" fillId="4" borderId="14" xfId="5" applyNumberFormat="1" applyFont="1" applyFill="1" applyBorder="1" applyAlignment="1">
      <alignment horizontal="right" wrapText="1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9" fillId="0" borderId="0" xfId="7" applyFont="1" applyBorder="1" applyAlignment="1">
      <alignment horizontal="left" indent="1"/>
    </xf>
    <xf numFmtId="43" fontId="9" fillId="0" borderId="0" xfId="5" applyFont="1" applyFill="1" applyBorder="1"/>
    <xf numFmtId="17" fontId="6" fillId="3" borderId="15" xfId="7" applyNumberFormat="1" applyFont="1" applyFill="1" applyBorder="1" applyAlignment="1">
      <alignment horizontal="center"/>
    </xf>
    <xf numFmtId="0" fontId="6" fillId="3" borderId="15" xfId="7" applyFont="1" applyFill="1" applyBorder="1" applyAlignment="1">
      <alignment horizontal="center"/>
    </xf>
    <xf numFmtId="0" fontId="4" fillId="0" borderId="6" xfId="0" applyFont="1" applyFill="1" applyBorder="1"/>
    <xf numFmtId="43" fontId="10" fillId="5" borderId="0" xfId="5" applyFont="1" applyFill="1" applyBorder="1"/>
    <xf numFmtId="43" fontId="6" fillId="4" borderId="14" xfId="0" applyNumberFormat="1" applyFont="1" applyFill="1" applyBorder="1" applyAlignment="1">
      <alignment horizontal="center" wrapText="1"/>
    </xf>
    <xf numFmtId="49" fontId="6" fillId="3" borderId="1" xfId="7" applyNumberFormat="1" applyFont="1" applyFill="1" applyBorder="1" applyAlignment="1">
      <alignment horizontal="center"/>
    </xf>
    <xf numFmtId="0" fontId="11" fillId="2" borderId="1" xfId="7" applyFont="1" applyFill="1" applyBorder="1" applyAlignment="1">
      <alignment horizontal="left" indent="1"/>
    </xf>
    <xf numFmtId="43" fontId="11" fillId="2" borderId="1" xfId="5" applyFont="1" applyFill="1" applyBorder="1"/>
    <xf numFmtId="43" fontId="12" fillId="5" borderId="1" xfId="5" applyFont="1" applyFill="1" applyBorder="1"/>
    <xf numFmtId="0" fontId="4" fillId="2" borderId="1" xfId="0" applyFont="1" applyFill="1" applyBorder="1"/>
    <xf numFmtId="0" fontId="6" fillId="3" borderId="1" xfId="7" applyFont="1" applyFill="1" applyBorder="1" applyAlignment="1">
      <alignment horizontal="center" wrapText="1"/>
    </xf>
    <xf numFmtId="0" fontId="6" fillId="3" borderId="1" xfId="7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7" applyFont="1" applyFill="1" applyBorder="1" applyAlignment="1">
      <alignment horizontal="center"/>
    </xf>
    <xf numFmtId="0" fontId="7" fillId="2" borderId="0" xfId="0" applyFont="1" applyFill="1"/>
    <xf numFmtId="43" fontId="0" fillId="2" borderId="0" xfId="0" applyNumberFormat="1" applyFill="1"/>
    <xf numFmtId="17" fontId="6" fillId="2" borderId="0" xfId="7" applyNumberFormat="1" applyFont="1" applyFill="1" applyBorder="1" applyAlignment="1">
      <alignment horizontal="center"/>
    </xf>
    <xf numFmtId="0" fontId="8" fillId="2" borderId="0" xfId="0" applyFont="1" applyFill="1" applyBorder="1"/>
    <xf numFmtId="44" fontId="0" fillId="2" borderId="0" xfId="1" applyFont="1" applyFill="1"/>
    <xf numFmtId="169" fontId="0" fillId="2" borderId="0" xfId="0" applyNumberFormat="1" applyFill="1"/>
    <xf numFmtId="4" fontId="0" fillId="2" borderId="0" xfId="0" applyNumberFormat="1" applyFill="1"/>
    <xf numFmtId="44" fontId="0" fillId="2" borderId="0" xfId="0" applyNumberFormat="1" applyFill="1"/>
    <xf numFmtId="9" fontId="0" fillId="2" borderId="0" xfId="6" applyFont="1" applyFill="1"/>
    <xf numFmtId="9" fontId="0" fillId="2" borderId="0" xfId="0" applyNumberFormat="1" applyFill="1"/>
    <xf numFmtId="9" fontId="6" fillId="3" borderId="16" xfId="7" applyNumberFormat="1" applyFont="1" applyFill="1" applyBorder="1" applyAlignment="1">
      <alignment horizontal="center" vertical="center" wrapText="1"/>
    </xf>
    <xf numFmtId="43" fontId="0" fillId="2" borderId="1" xfId="0" applyNumberFormat="1" applyFill="1" applyBorder="1"/>
    <xf numFmtId="43" fontId="0" fillId="2" borderId="1" xfId="0" applyNumberFormat="1" applyFill="1" applyBorder="1" applyAlignment="1">
      <alignment horizontal="center"/>
    </xf>
    <xf numFmtId="168" fontId="0" fillId="2" borderId="1" xfId="0" applyNumberFormat="1" applyFill="1" applyBorder="1"/>
    <xf numFmtId="43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6" fillId="3" borderId="33" xfId="7" applyFont="1" applyFill="1" applyBorder="1" applyAlignment="1">
      <alignment horizontal="left"/>
    </xf>
    <xf numFmtId="0" fontId="6" fillId="3" borderId="0" xfId="7" applyFont="1" applyFill="1" applyBorder="1" applyAlignment="1">
      <alignment horizontal="left"/>
    </xf>
    <xf numFmtId="4" fontId="6" fillId="4" borderId="1" xfId="5" applyNumberFormat="1" applyFont="1" applyFill="1" applyBorder="1" applyAlignment="1">
      <alignment horizontal="right" wrapText="1"/>
    </xf>
    <xf numFmtId="9" fontId="6" fillId="4" borderId="1" xfId="6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17" xfId="0" applyFont="1" applyBorder="1" applyAlignment="1">
      <alignment horizontal="left" vertical="center"/>
    </xf>
    <xf numFmtId="39" fontId="12" fillId="0" borderId="1" xfId="0" applyNumberFormat="1" applyFont="1" applyBorder="1" applyAlignment="1">
      <alignment vertical="center"/>
    </xf>
    <xf numFmtId="43" fontId="12" fillId="0" borderId="1" xfId="5" applyFont="1" applyFill="1" applyBorder="1" applyAlignment="1">
      <alignment vertical="center"/>
    </xf>
    <xf numFmtId="43" fontId="11" fillId="0" borderId="1" xfId="5" applyFont="1" applyFill="1" applyBorder="1" applyAlignment="1">
      <alignment vertical="center"/>
    </xf>
    <xf numFmtId="4" fontId="11" fillId="0" borderId="18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left" vertical="center"/>
    </xf>
    <xf numFmtId="39" fontId="11" fillId="0" borderId="1" xfId="0" applyNumberFormat="1" applyFont="1" applyBorder="1" applyAlignment="1">
      <alignment vertical="center"/>
    </xf>
    <xf numFmtId="4" fontId="11" fillId="0" borderId="18" xfId="0" applyNumberFormat="1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4" fontId="12" fillId="0" borderId="18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9" fontId="11" fillId="0" borderId="18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39" fontId="12" fillId="0" borderId="18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vertical="center"/>
    </xf>
    <xf numFmtId="39" fontId="12" fillId="8" borderId="1" xfId="0" applyNumberFormat="1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1" fillId="0" borderId="27" xfId="0" applyFont="1" applyBorder="1" applyAlignment="1">
      <alignment vertical="center"/>
    </xf>
    <xf numFmtId="43" fontId="11" fillId="0" borderId="18" xfId="5" applyFont="1" applyFill="1" applyBorder="1" applyAlignment="1">
      <alignment vertical="center"/>
    </xf>
    <xf numFmtId="39" fontId="12" fillId="0" borderId="18" xfId="0" applyNumberFormat="1" applyFont="1" applyBorder="1" applyAlignment="1">
      <alignment vertical="center"/>
    </xf>
    <xf numFmtId="0" fontId="12" fillId="0" borderId="22" xfId="0" applyFont="1" applyBorder="1" applyAlignment="1">
      <alignment horizontal="left" vertical="center"/>
    </xf>
    <xf numFmtId="39" fontId="12" fillId="7" borderId="21" xfId="0" applyNumberFormat="1" applyFont="1" applyFill="1" applyBorder="1" applyAlignment="1">
      <alignment vertical="center"/>
    </xf>
    <xf numFmtId="39" fontId="12" fillId="7" borderId="23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39" fontId="12" fillId="0" borderId="0" xfId="0" applyNumberFormat="1" applyFont="1" applyAlignment="1">
      <alignment vertical="center"/>
    </xf>
    <xf numFmtId="0" fontId="13" fillId="0" borderId="24" xfId="0" applyFont="1" applyBorder="1" applyAlignment="1">
      <alignment horizontal="left" vertical="center"/>
    </xf>
    <xf numFmtId="39" fontId="12" fillId="0" borderId="25" xfId="0" applyNumberFormat="1" applyFont="1" applyBorder="1" applyAlignment="1">
      <alignment vertical="center"/>
    </xf>
    <xf numFmtId="167" fontId="12" fillId="0" borderId="25" xfId="0" applyNumberFormat="1" applyFont="1" applyBorder="1" applyAlignment="1">
      <alignment vertical="center"/>
    </xf>
    <xf numFmtId="43" fontId="12" fillId="0" borderId="25" xfId="5" applyFont="1" applyFill="1" applyBorder="1" applyAlignment="1">
      <alignment vertical="center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39" fontId="11" fillId="0" borderId="3" xfId="0" applyNumberFormat="1" applyFont="1" applyBorder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39" fontId="11" fillId="0" borderId="19" xfId="0" applyNumberFormat="1" applyFont="1" applyBorder="1" applyAlignment="1">
      <alignment vertical="center"/>
    </xf>
    <xf numFmtId="39" fontId="11" fillId="0" borderId="28" xfId="0" applyNumberFormat="1" applyFont="1" applyBorder="1" applyAlignment="1">
      <alignment horizontal="right" vertical="center"/>
    </xf>
    <xf numFmtId="39" fontId="12" fillId="0" borderId="0" xfId="0" applyNumberFormat="1" applyFont="1" applyAlignment="1">
      <alignment horizontal="right" vertical="center"/>
    </xf>
    <xf numFmtId="39" fontId="12" fillId="7" borderId="1" xfId="0" applyNumberFormat="1" applyFont="1" applyFill="1" applyBorder="1" applyAlignment="1">
      <alignment vertical="center"/>
    </xf>
    <xf numFmtId="39" fontId="12" fillId="7" borderId="18" xfId="0" applyNumberFormat="1" applyFont="1" applyFill="1" applyBorder="1" applyAlignment="1">
      <alignment horizontal="right" vertical="center"/>
    </xf>
    <xf numFmtId="43" fontId="12" fillId="0" borderId="18" xfId="5" applyFont="1" applyFill="1" applyBorder="1" applyAlignment="1">
      <alignment vertical="center"/>
    </xf>
    <xf numFmtId="39" fontId="12" fillId="0" borderId="21" xfId="0" applyNumberFormat="1" applyFont="1" applyBorder="1" applyAlignment="1">
      <alignment vertical="center"/>
    </xf>
    <xf numFmtId="43" fontId="12" fillId="0" borderId="0" xfId="5" applyFont="1" applyFill="1" applyBorder="1" applyAlignment="1">
      <alignment vertical="center"/>
    </xf>
    <xf numFmtId="0" fontId="14" fillId="6" borderId="32" xfId="0" applyFont="1" applyFill="1" applyBorder="1" applyAlignment="1">
      <alignment horizontal="left" vertical="center"/>
    </xf>
    <xf numFmtId="39" fontId="12" fillId="0" borderId="19" xfId="0" applyNumberFormat="1" applyFont="1" applyBorder="1" applyAlignment="1">
      <alignment vertical="center"/>
    </xf>
    <xf numFmtId="39" fontId="12" fillId="0" borderId="28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0" xfId="5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43" fontId="12" fillId="0" borderId="0" xfId="5" applyFont="1" applyFill="1" applyAlignment="1">
      <alignment vertical="center"/>
    </xf>
    <xf numFmtId="43" fontId="11" fillId="0" borderId="0" xfId="5" applyFont="1" applyFill="1"/>
    <xf numFmtId="0" fontId="11" fillId="0" borderId="0" xfId="0" applyFont="1" applyAlignment="1">
      <alignment horizontal="right"/>
    </xf>
    <xf numFmtId="165" fontId="11" fillId="0" borderId="1" xfId="0" applyNumberFormat="1" applyFont="1" applyBorder="1" applyAlignment="1">
      <alignment horizontal="right" vertical="center"/>
    </xf>
    <xf numFmtId="39" fontId="11" fillId="0" borderId="1" xfId="0" applyNumberFormat="1" applyFont="1" applyBorder="1" applyAlignment="1">
      <alignment horizontal="right" vertical="center"/>
    </xf>
    <xf numFmtId="0" fontId="12" fillId="0" borderId="29" xfId="0" applyFont="1" applyBorder="1" applyAlignment="1">
      <alignment horizontal="left" vertical="center"/>
    </xf>
    <xf numFmtId="4" fontId="12" fillId="0" borderId="30" xfId="0" applyNumberFormat="1" applyFont="1" applyBorder="1" applyAlignment="1">
      <alignment vertical="center"/>
    </xf>
    <xf numFmtId="39" fontId="11" fillId="0" borderId="3" xfId="0" applyNumberFormat="1" applyFont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vertical="center"/>
    </xf>
    <xf numFmtId="39" fontId="11" fillId="0" borderId="0" xfId="0" applyNumberFormat="1" applyFont="1" applyAlignment="1">
      <alignment vertical="center"/>
    </xf>
    <xf numFmtId="166" fontId="11" fillId="0" borderId="0" xfId="6" applyNumberFormat="1" applyFont="1" applyFill="1" applyAlignment="1">
      <alignment vertical="center"/>
    </xf>
    <xf numFmtId="166" fontId="11" fillId="0" borderId="0" xfId="6" applyNumberFormat="1" applyFont="1" applyFill="1" applyAlignment="1">
      <alignment horizontal="right" vertical="center"/>
    </xf>
    <xf numFmtId="166" fontId="12" fillId="0" borderId="0" xfId="6" applyNumberFormat="1" applyFont="1" applyFill="1" applyAlignment="1">
      <alignment vertical="center"/>
    </xf>
    <xf numFmtId="0" fontId="12" fillId="0" borderId="27" xfId="0" applyFont="1" applyBorder="1" applyAlignment="1">
      <alignment vertical="center"/>
    </xf>
    <xf numFmtId="164" fontId="12" fillId="7" borderId="1" xfId="0" applyNumberFormat="1" applyFont="1" applyFill="1" applyBorder="1" applyAlignment="1">
      <alignment vertical="center"/>
    </xf>
    <xf numFmtId="164" fontId="12" fillId="0" borderId="18" xfId="0" applyNumberFormat="1" applyFont="1" applyBorder="1" applyAlignment="1">
      <alignment vertical="center"/>
    </xf>
    <xf numFmtId="164" fontId="12" fillId="7" borderId="2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right" vertical="center"/>
    </xf>
    <xf numFmtId="39" fontId="11" fillId="0" borderId="18" xfId="0" applyNumberFormat="1" applyFont="1" applyBorder="1" applyAlignment="1">
      <alignment vertical="center"/>
    </xf>
    <xf numFmtId="0" fontId="12" fillId="7" borderId="17" xfId="0" applyFont="1" applyFill="1" applyBorder="1" applyAlignment="1">
      <alignment horizontal="left" vertical="center"/>
    </xf>
    <xf numFmtId="49" fontId="12" fillId="0" borderId="25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39" fontId="12" fillId="0" borderId="1" xfId="0" applyNumberFormat="1" applyFont="1" applyBorder="1" applyAlignment="1">
      <alignment horizontal="right" vertical="center"/>
    </xf>
    <xf numFmtId="0" fontId="12" fillId="7" borderId="1" xfId="0" applyFont="1" applyFill="1" applyBorder="1" applyAlignment="1">
      <alignment horizontal="left" vertical="center"/>
    </xf>
    <xf numFmtId="39" fontId="12" fillId="7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70" fontId="11" fillId="0" borderId="1" xfId="0" applyNumberFormat="1" applyFont="1" applyBorder="1" applyAlignment="1">
      <alignment vertical="center"/>
    </xf>
    <xf numFmtId="170" fontId="12" fillId="0" borderId="1" xfId="0" applyNumberFormat="1" applyFont="1" applyBorder="1" applyAlignment="1">
      <alignment vertical="center"/>
    </xf>
    <xf numFmtId="170" fontId="11" fillId="0" borderId="1" xfId="6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70" fontId="15" fillId="3" borderId="1" xfId="6" applyNumberFormat="1" applyFont="1" applyFill="1" applyBorder="1" applyAlignment="1">
      <alignment vertical="center"/>
    </xf>
    <xf numFmtId="171" fontId="0" fillId="2" borderId="1" xfId="6" applyNumberFormat="1" applyFont="1" applyFill="1" applyBorder="1"/>
    <xf numFmtId="0" fontId="6" fillId="3" borderId="15" xfId="7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0" fillId="5" borderId="0" xfId="7" applyFont="1" applyFill="1" applyBorder="1" applyAlignment="1">
      <alignment horizontal="center"/>
    </xf>
    <xf numFmtId="0" fontId="6" fillId="3" borderId="15" xfId="7" applyFont="1" applyFill="1" applyBorder="1" applyAlignment="1">
      <alignment horizontal="center"/>
    </xf>
    <xf numFmtId="0" fontId="6" fillId="3" borderId="16" xfId="7" applyFont="1" applyFill="1" applyBorder="1" applyAlignment="1">
      <alignment horizontal="center"/>
    </xf>
    <xf numFmtId="0" fontId="5" fillId="0" borderId="42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0" borderId="37" xfId="0" applyFont="1" applyBorder="1" applyAlignment="1">
      <alignment horizontal="left"/>
    </xf>
    <xf numFmtId="0" fontId="6" fillId="3" borderId="3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2" fillId="5" borderId="1" xfId="7" applyFont="1" applyFill="1" applyBorder="1" applyAlignment="1">
      <alignment horizontal="center"/>
    </xf>
    <xf numFmtId="0" fontId="6" fillId="3" borderId="1" xfId="7" applyFont="1" applyFill="1" applyBorder="1" applyAlignment="1">
      <alignment horizontal="center"/>
    </xf>
    <xf numFmtId="43" fontId="15" fillId="4" borderId="34" xfId="0" applyNumberFormat="1" applyFont="1" applyFill="1" applyBorder="1" applyAlignment="1">
      <alignment horizontal="center" vertical="center" wrapText="1"/>
    </xf>
    <xf numFmtId="43" fontId="15" fillId="4" borderId="35" xfId="0" applyNumberFormat="1" applyFont="1" applyFill="1" applyBorder="1" applyAlignment="1">
      <alignment horizontal="center" vertical="center" wrapText="1"/>
    </xf>
    <xf numFmtId="43" fontId="15" fillId="4" borderId="36" xfId="0" applyNumberFormat="1" applyFont="1" applyFill="1" applyBorder="1" applyAlignment="1">
      <alignment horizontal="center" vertical="center" wrapText="1"/>
    </xf>
  </cellXfs>
  <cellStyles count="8">
    <cellStyle name="Moeda" xfId="1" builtinId="4"/>
    <cellStyle name="Normal" xfId="0" builtinId="0" customBuiltin="1"/>
    <cellStyle name="Normal 2" xfId="2" xr:uid="{00000000-0005-0000-0000-000002000000}"/>
    <cellStyle name="Normal 2 2" xfId="3" xr:uid="{00000000-0005-0000-0000-000003000000}"/>
    <cellStyle name="Normal 3" xfId="7" xr:uid="{00000000-0005-0000-0000-000004000000}"/>
    <cellStyle name="Porcentagem" xfId="6" builtinId="5"/>
    <cellStyle name="Vírgula" xfId="5" builtinId="3"/>
    <cellStyle name="Vírgula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1135719</xdr:colOff>
      <xdr:row>34</xdr:row>
      <xdr:rowOff>100852</xdr:rowOff>
    </xdr:from>
    <xdr:to>
      <xdr:col>1</xdr:col>
      <xdr:colOff>144748</xdr:colOff>
      <xdr:row>37</xdr:row>
      <xdr:rowOff>69352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5719" y="6600264"/>
          <a:ext cx="1620000" cy="540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I-OR-2019</a:t>
          </a:r>
        </a:p>
      </xdr:txBody>
    </xdr:sp>
    <xdr:clientData/>
  </xdr:twoCellAnchor>
  <xdr:twoCellAnchor>
    <xdr:from>
      <xdr:col>2</xdr:col>
      <xdr:colOff>114581</xdr:colOff>
      <xdr:row>34</xdr:row>
      <xdr:rowOff>101039</xdr:rowOff>
    </xdr:from>
    <xdr:to>
      <xdr:col>2</xdr:col>
      <xdr:colOff>1734581</xdr:colOff>
      <xdr:row>37</xdr:row>
      <xdr:rowOff>69539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75375" y="6600451"/>
          <a:ext cx="1620000" cy="540000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 b="1"/>
        </a:p>
        <a:p>
          <a:pPr algn="ctr"/>
          <a:r>
            <a:rPr lang="pt-BR" sz="1100" b="1"/>
            <a:t>A-Cálculo</a:t>
          </a:r>
          <a:r>
            <a:rPr lang="pt-BR" sz="1100" b="1" baseline="0"/>
            <a:t> OR Consolidado</a:t>
          </a:r>
          <a:endParaRPr lang="pt-BR" sz="1100" b="1"/>
        </a:p>
      </xdr:txBody>
    </xdr:sp>
    <xdr:clientData/>
  </xdr:twoCellAnchor>
  <xdr:twoCellAnchor>
    <xdr:from>
      <xdr:col>3</xdr:col>
      <xdr:colOff>1199032</xdr:colOff>
      <xdr:row>36</xdr:row>
      <xdr:rowOff>59394</xdr:rowOff>
    </xdr:from>
    <xdr:to>
      <xdr:col>4</xdr:col>
      <xdr:colOff>1362268</xdr:colOff>
      <xdr:row>39</xdr:row>
      <xdr:rowOff>27894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776885" y="6939806"/>
          <a:ext cx="1776883" cy="5400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</a:t>
          </a:r>
          <a:r>
            <a:rPr lang="pt-BR" sz="1100" b="1" baseline="0"/>
            <a:t>- Compartilhamento OR</a:t>
          </a:r>
          <a:endParaRPr lang="pt-BR" sz="1100" b="1"/>
        </a:p>
      </xdr:txBody>
    </xdr:sp>
    <xdr:clientData/>
  </xdr:twoCellAnchor>
  <xdr:twoCellAnchor>
    <xdr:from>
      <xdr:col>1</xdr:col>
      <xdr:colOff>144748</xdr:colOff>
      <xdr:row>35</xdr:row>
      <xdr:rowOff>180352</xdr:rowOff>
    </xdr:from>
    <xdr:to>
      <xdr:col>2</xdr:col>
      <xdr:colOff>114581</xdr:colOff>
      <xdr:row>35</xdr:row>
      <xdr:rowOff>180539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  <a:stCxn id="7" idx="3"/>
          <a:endCxn id="10" idx="1"/>
        </xdr:cNvCxnSpPr>
      </xdr:nvCxnSpPr>
      <xdr:spPr>
        <a:xfrm>
          <a:off x="2755719" y="6870264"/>
          <a:ext cx="1919656" cy="18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1734581</xdr:colOff>
      <xdr:row>35</xdr:row>
      <xdr:rowOff>180539</xdr:rowOff>
    </xdr:from>
    <xdr:to>
      <xdr:col>3</xdr:col>
      <xdr:colOff>1199032</xdr:colOff>
      <xdr:row>37</xdr:row>
      <xdr:rowOff>138894</xdr:rowOff>
    </xdr:to>
    <xdr:cxnSp macro="">
      <xdr:nvCxnSpPr>
        <xdr:cNvPr id="53" name="Conector: Angulad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>
          <a:stCxn id="10" idx="3"/>
          <a:endCxn id="12" idx="1"/>
        </xdr:cNvCxnSpPr>
      </xdr:nvCxnSpPr>
      <xdr:spPr>
        <a:xfrm>
          <a:off x="6295375" y="6870451"/>
          <a:ext cx="1481510" cy="33935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1142443</xdr:colOff>
      <xdr:row>38</xdr:row>
      <xdr:rowOff>73959</xdr:rowOff>
    </xdr:from>
    <xdr:to>
      <xdr:col>1</xdr:col>
      <xdr:colOff>151472</xdr:colOff>
      <xdr:row>41</xdr:row>
      <xdr:rowOff>42459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42443" y="7335371"/>
          <a:ext cx="1620000" cy="540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I-Calc.</a:t>
          </a:r>
          <a:r>
            <a:rPr lang="pt-BR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PASEP_COFINS</a:t>
          </a:r>
        </a:p>
        <a:p>
          <a:pPr marL="0" indent="0" algn="ctr"/>
          <a:r>
            <a:rPr lang="pt-BR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201</a:t>
          </a:r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</xdr:col>
      <xdr:colOff>110098</xdr:colOff>
      <xdr:row>38</xdr:row>
      <xdr:rowOff>62940</xdr:rowOff>
    </xdr:from>
    <xdr:to>
      <xdr:col>2</xdr:col>
      <xdr:colOff>1730098</xdr:colOff>
      <xdr:row>41</xdr:row>
      <xdr:rowOff>31440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70892" y="7324352"/>
          <a:ext cx="1620000" cy="540000"/>
        </a:xfrm>
        <a:prstGeom prst="rect">
          <a:avLst/>
        </a:prstGeom>
        <a:solidFill>
          <a:schemeClr val="accent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A-Aliq.Efetiva</a:t>
          </a:r>
          <a:r>
            <a:rPr lang="pt-BR" sz="1100" b="1" baseline="0"/>
            <a:t> PASEP_COFINS</a:t>
          </a:r>
          <a:endParaRPr lang="pt-BR" sz="1100" b="1"/>
        </a:p>
      </xdr:txBody>
    </xdr:sp>
    <xdr:clientData/>
  </xdr:twoCellAnchor>
  <xdr:twoCellAnchor>
    <xdr:from>
      <xdr:col>1</xdr:col>
      <xdr:colOff>151472</xdr:colOff>
      <xdr:row>39</xdr:row>
      <xdr:rowOff>142440</xdr:rowOff>
    </xdr:from>
    <xdr:to>
      <xdr:col>2</xdr:col>
      <xdr:colOff>110098</xdr:colOff>
      <xdr:row>39</xdr:row>
      <xdr:rowOff>153459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743369B8-B0DD-485B-84C3-650FAF4D6C44}"/>
            </a:ext>
          </a:extLst>
        </xdr:cNvPr>
        <xdr:cNvCxnSpPr>
          <a:cxnSpLocks/>
          <a:stCxn id="8" idx="3"/>
          <a:endCxn id="14" idx="1"/>
        </xdr:cNvCxnSpPr>
      </xdr:nvCxnSpPr>
      <xdr:spPr>
        <a:xfrm flipV="1">
          <a:off x="2762443" y="7594352"/>
          <a:ext cx="1908449" cy="1101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1730098</xdr:colOff>
      <xdr:row>37</xdr:row>
      <xdr:rowOff>138894</xdr:rowOff>
    </xdr:from>
    <xdr:to>
      <xdr:col>3</xdr:col>
      <xdr:colOff>1199032</xdr:colOff>
      <xdr:row>39</xdr:row>
      <xdr:rowOff>142440</xdr:rowOff>
    </xdr:to>
    <xdr:cxnSp macro="">
      <xdr:nvCxnSpPr>
        <xdr:cNvPr id="15" name="Conector: Angulado 14">
          <a:extLst>
            <a:ext uri="{FF2B5EF4-FFF2-40B4-BE49-F238E27FC236}">
              <a16:creationId xmlns:a16="http://schemas.microsoft.com/office/drawing/2014/main" id="{A12FE9E6-74FA-4549-BFEC-4B2C4AF44C09}"/>
            </a:ext>
          </a:extLst>
        </xdr:cNvPr>
        <xdr:cNvCxnSpPr>
          <a:stCxn id="14" idx="3"/>
          <a:endCxn id="12" idx="1"/>
        </xdr:cNvCxnSpPr>
      </xdr:nvCxnSpPr>
      <xdr:spPr>
        <a:xfrm flipV="1">
          <a:off x="6290892" y="7209806"/>
          <a:ext cx="1485993" cy="384546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Docs/Material%201%20RTP/Planilhas/Anexo_4_P0_2017_256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dido_Info"/>
      <sheetName val="Dados_Entrada"/>
      <sheetName val="P0_Sanepar"/>
      <sheetName val="Fator X"/>
      <sheetName val="Tarifa_Media 2016"/>
      <sheetName val="Resultados"/>
      <sheetName val="Mapa"/>
    </sheetNames>
    <sheetDataSet>
      <sheetData sheetId="0">
        <row r="20">
          <cell r="D20">
            <v>2020</v>
          </cell>
        </row>
      </sheetData>
      <sheetData sheetId="1"/>
      <sheetData sheetId="2"/>
      <sheetData sheetId="3">
        <row r="5">
          <cell r="B5">
            <v>3.9038925776633917</v>
          </cell>
        </row>
      </sheetData>
      <sheetData sheetId="4">
        <row r="46">
          <cell r="B46">
            <v>7.6825215906122313E-3</v>
          </cell>
        </row>
      </sheetData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zoomScale="85" zoomScaleNormal="85" workbookViewId="0">
      <selection activeCell="A14" sqref="A14"/>
    </sheetView>
  </sheetViews>
  <sheetFormatPr defaultRowHeight="15" x14ac:dyDescent="0.25"/>
  <cols>
    <col min="1" max="1" width="39.140625" style="5" customWidth="1"/>
    <col min="2" max="2" width="29.28515625" style="5" customWidth="1"/>
    <col min="3" max="3" width="30.28515625" style="5" customWidth="1"/>
    <col min="4" max="4" width="24.140625" style="5" customWidth="1"/>
    <col min="5" max="5" width="23.5703125" style="5" customWidth="1"/>
    <col min="6" max="16384" width="9.140625" style="5"/>
  </cols>
  <sheetData>
    <row r="1" spans="1:5" x14ac:dyDescent="0.25">
      <c r="A1" s="4" t="s">
        <v>7</v>
      </c>
    </row>
    <row r="2" spans="1:5" x14ac:dyDescent="0.25">
      <c r="A2" s="163" t="s">
        <v>231</v>
      </c>
      <c r="B2" s="164"/>
      <c r="C2" s="164"/>
      <c r="D2" s="164"/>
      <c r="E2" s="165"/>
    </row>
    <row r="3" spans="1:5" x14ac:dyDescent="0.25">
      <c r="A3" s="166"/>
      <c r="B3" s="167"/>
      <c r="C3" s="167"/>
      <c r="D3" s="167"/>
      <c r="E3" s="168"/>
    </row>
    <row r="4" spans="1:5" x14ac:dyDescent="0.25">
      <c r="A4" s="166"/>
      <c r="B4" s="167"/>
      <c r="C4" s="167"/>
      <c r="D4" s="167"/>
      <c r="E4" s="168"/>
    </row>
    <row r="5" spans="1:5" x14ac:dyDescent="0.25">
      <c r="A5" s="166"/>
      <c r="B5" s="167"/>
      <c r="C5" s="167"/>
      <c r="D5" s="167"/>
      <c r="E5" s="168"/>
    </row>
    <row r="6" spans="1:5" x14ac:dyDescent="0.25">
      <c r="A6" s="166"/>
      <c r="B6" s="167"/>
      <c r="C6" s="167"/>
      <c r="D6" s="167"/>
      <c r="E6" s="168"/>
    </row>
    <row r="7" spans="1:5" x14ac:dyDescent="0.25">
      <c r="A7" s="166"/>
      <c r="B7" s="167"/>
      <c r="C7" s="167"/>
      <c r="D7" s="167"/>
      <c r="E7" s="168"/>
    </row>
    <row r="8" spans="1:5" x14ac:dyDescent="0.25">
      <c r="A8" s="166"/>
      <c r="B8" s="167"/>
      <c r="C8" s="167"/>
      <c r="D8" s="167"/>
      <c r="E8" s="168"/>
    </row>
    <row r="9" spans="1:5" x14ac:dyDescent="0.25">
      <c r="A9" s="166"/>
      <c r="B9" s="167"/>
      <c r="C9" s="167"/>
      <c r="D9" s="167"/>
      <c r="E9" s="168"/>
    </row>
    <row r="10" spans="1:5" x14ac:dyDescent="0.25">
      <c r="A10" s="166"/>
      <c r="B10" s="167"/>
      <c r="C10" s="167"/>
      <c r="D10" s="167"/>
      <c r="E10" s="168"/>
    </row>
    <row r="11" spans="1:5" x14ac:dyDescent="0.25">
      <c r="A11" s="166"/>
      <c r="B11" s="167"/>
      <c r="C11" s="167"/>
      <c r="D11" s="167"/>
      <c r="E11" s="168"/>
    </row>
    <row r="12" spans="1:5" x14ac:dyDescent="0.25">
      <c r="A12" s="166"/>
      <c r="B12" s="167"/>
      <c r="C12" s="167"/>
      <c r="D12" s="167"/>
      <c r="E12" s="168"/>
    </row>
    <row r="13" spans="1:5" x14ac:dyDescent="0.25">
      <c r="A13" s="169"/>
      <c r="B13" s="170"/>
      <c r="C13" s="170"/>
      <c r="D13" s="170"/>
      <c r="E13" s="171"/>
    </row>
    <row r="15" spans="1:5" x14ac:dyDescent="0.25">
      <c r="A15" s="4" t="s">
        <v>8</v>
      </c>
    </row>
    <row r="16" spans="1:5" x14ac:dyDescent="0.25">
      <c r="A16" s="172" t="s">
        <v>2</v>
      </c>
      <c r="B16" s="173"/>
      <c r="C16" s="173"/>
      <c r="D16" s="173"/>
      <c r="E16" s="174"/>
    </row>
    <row r="17" spans="1:5" x14ac:dyDescent="0.25">
      <c r="A17" s="6"/>
      <c r="B17" s="7"/>
      <c r="C17" s="7"/>
      <c r="D17" s="7"/>
      <c r="E17" s="8"/>
    </row>
    <row r="18" spans="1:5" ht="16.5" customHeight="1" x14ac:dyDescent="0.25">
      <c r="A18" s="166" t="s">
        <v>3</v>
      </c>
      <c r="B18" s="167"/>
      <c r="C18" s="167"/>
      <c r="D18" s="167"/>
      <c r="E18" s="168"/>
    </row>
    <row r="19" spans="1:5" x14ac:dyDescent="0.25">
      <c r="A19" s="166"/>
      <c r="B19" s="167"/>
      <c r="C19" s="167"/>
      <c r="D19" s="167"/>
      <c r="E19" s="168"/>
    </row>
    <row r="20" spans="1:5" x14ac:dyDescent="0.25">
      <c r="A20" s="9"/>
      <c r="B20" s="10"/>
      <c r="C20" s="10"/>
      <c r="D20" s="10"/>
      <c r="E20" s="11"/>
    </row>
    <row r="21" spans="1:5" x14ac:dyDescent="0.25">
      <c r="A21" s="175" t="s">
        <v>0</v>
      </c>
      <c r="B21" s="176"/>
      <c r="C21" s="176"/>
      <c r="D21" s="176"/>
      <c r="E21" s="177"/>
    </row>
    <row r="23" spans="1:5" x14ac:dyDescent="0.25">
      <c r="A23" s="4" t="s">
        <v>9</v>
      </c>
    </row>
    <row r="24" spans="1:5" x14ac:dyDescent="0.25">
      <c r="A24" s="12" t="s">
        <v>1</v>
      </c>
      <c r="B24" s="179" t="s">
        <v>10</v>
      </c>
      <c r="C24" s="180"/>
      <c r="D24" s="180"/>
      <c r="E24" s="181"/>
    </row>
    <row r="25" spans="1:5" x14ac:dyDescent="0.25">
      <c r="A25" s="27" t="s">
        <v>74</v>
      </c>
      <c r="B25" s="182" t="s">
        <v>73</v>
      </c>
      <c r="C25" s="183"/>
      <c r="D25" s="183"/>
      <c r="E25" s="184"/>
    </row>
    <row r="26" spans="1:5" x14ac:dyDescent="0.25">
      <c r="A26" s="27" t="s">
        <v>228</v>
      </c>
      <c r="B26" s="158" t="s">
        <v>230</v>
      </c>
      <c r="C26" s="159"/>
      <c r="D26" s="159"/>
      <c r="E26" s="160"/>
    </row>
    <row r="27" spans="1:5" x14ac:dyDescent="0.25">
      <c r="A27" s="27" t="s">
        <v>227</v>
      </c>
      <c r="B27" s="158" t="s">
        <v>229</v>
      </c>
      <c r="C27" s="159"/>
      <c r="D27" s="159"/>
      <c r="E27" s="160"/>
    </row>
    <row r="28" spans="1:5" x14ac:dyDescent="0.25">
      <c r="A28" s="26" t="s">
        <v>226</v>
      </c>
      <c r="B28" s="182" t="s">
        <v>75</v>
      </c>
      <c r="C28" s="183"/>
      <c r="D28" s="183"/>
      <c r="E28" s="184"/>
    </row>
    <row r="29" spans="1:5" x14ac:dyDescent="0.25">
      <c r="A29" s="153" t="s">
        <v>224</v>
      </c>
      <c r="B29" s="178" t="s">
        <v>225</v>
      </c>
      <c r="C29" s="176"/>
      <c r="D29" s="176"/>
      <c r="E29" s="177"/>
    </row>
    <row r="31" spans="1:5" x14ac:dyDescent="0.25">
      <c r="A31" s="4" t="s">
        <v>11</v>
      </c>
    </row>
    <row r="32" spans="1:5" x14ac:dyDescent="0.25">
      <c r="A32" s="13"/>
      <c r="B32" s="14"/>
      <c r="C32" s="14"/>
      <c r="D32" s="14"/>
      <c r="E32" s="15"/>
    </row>
    <row r="33" spans="1:5" x14ac:dyDescent="0.25">
      <c r="A33" s="162" t="s">
        <v>4</v>
      </c>
      <c r="B33" s="16"/>
      <c r="C33" s="17" t="s">
        <v>5</v>
      </c>
      <c r="D33" s="16"/>
      <c r="E33" s="161" t="s">
        <v>6</v>
      </c>
    </row>
    <row r="34" spans="1:5" x14ac:dyDescent="0.25">
      <c r="A34" s="18"/>
      <c r="B34" s="16"/>
      <c r="C34" s="16"/>
      <c r="D34" s="16"/>
      <c r="E34" s="19"/>
    </row>
    <row r="35" spans="1:5" x14ac:dyDescent="0.25">
      <c r="A35" s="18"/>
      <c r="B35" s="16"/>
      <c r="C35" s="16"/>
      <c r="D35" s="16"/>
      <c r="E35" s="20"/>
    </row>
    <row r="36" spans="1:5" x14ac:dyDescent="0.25">
      <c r="A36" s="18"/>
      <c r="B36" s="16"/>
      <c r="C36" s="16"/>
      <c r="D36" s="16"/>
      <c r="E36" s="20"/>
    </row>
    <row r="37" spans="1:5" x14ac:dyDescent="0.25">
      <c r="A37" s="18"/>
      <c r="B37" s="16"/>
      <c r="C37" s="16"/>
      <c r="D37" s="16"/>
      <c r="E37" s="19"/>
    </row>
    <row r="38" spans="1:5" x14ac:dyDescent="0.25">
      <c r="A38" s="18"/>
      <c r="B38" s="16"/>
      <c r="C38" s="16"/>
      <c r="D38" s="16"/>
      <c r="E38" s="20"/>
    </row>
    <row r="39" spans="1:5" x14ac:dyDescent="0.25">
      <c r="A39" s="18"/>
      <c r="B39" s="16"/>
      <c r="C39" s="16"/>
      <c r="D39" s="16"/>
      <c r="E39" s="20"/>
    </row>
    <row r="40" spans="1:5" x14ac:dyDescent="0.25">
      <c r="A40" s="18"/>
      <c r="B40" s="16"/>
      <c r="C40" s="16"/>
      <c r="D40" s="16"/>
      <c r="E40" s="20"/>
    </row>
    <row r="41" spans="1:5" x14ac:dyDescent="0.25">
      <c r="A41" s="18"/>
      <c r="B41" s="16"/>
      <c r="C41" s="16"/>
      <c r="D41" s="16"/>
      <c r="E41" s="20"/>
    </row>
    <row r="42" spans="1:5" x14ac:dyDescent="0.25">
      <c r="A42" s="18"/>
      <c r="B42" s="16"/>
      <c r="C42" s="16"/>
      <c r="D42" s="16"/>
      <c r="E42" s="20"/>
    </row>
    <row r="43" spans="1:5" x14ac:dyDescent="0.25">
      <c r="A43" s="32"/>
      <c r="B43" s="16"/>
      <c r="C43" s="16"/>
      <c r="D43" s="16"/>
      <c r="E43" s="20"/>
    </row>
    <row r="44" spans="1:5" x14ac:dyDescent="0.25">
      <c r="A44" s="18"/>
      <c r="B44" s="16"/>
      <c r="C44" s="16"/>
      <c r="D44" s="16"/>
      <c r="E44" s="20"/>
    </row>
    <row r="45" spans="1:5" x14ac:dyDescent="0.25">
      <c r="A45" s="18"/>
      <c r="B45" s="16"/>
      <c r="C45" s="16"/>
      <c r="D45" s="16"/>
      <c r="E45" s="20"/>
    </row>
    <row r="46" spans="1:5" x14ac:dyDescent="0.25">
      <c r="A46" s="21"/>
      <c r="B46" s="22"/>
      <c r="C46" s="22"/>
      <c r="D46" s="22"/>
      <c r="E46" s="23"/>
    </row>
  </sheetData>
  <mergeCells count="8">
    <mergeCell ref="A2:E13"/>
    <mergeCell ref="A16:E16"/>
    <mergeCell ref="A21:E21"/>
    <mergeCell ref="A18:E19"/>
    <mergeCell ref="B29:E29"/>
    <mergeCell ref="B24:E24"/>
    <mergeCell ref="B28:E28"/>
    <mergeCell ref="B25:E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selection activeCell="A31" sqref="A31"/>
    </sheetView>
  </sheetViews>
  <sheetFormatPr defaultRowHeight="15" x14ac:dyDescent="0.25"/>
  <cols>
    <col min="1" max="1" width="8" style="2" bestFit="1" customWidth="1"/>
    <col min="2" max="2" width="45" style="2" bestFit="1" customWidth="1"/>
    <col min="3" max="14" width="13.28515625" style="2" bestFit="1" customWidth="1"/>
    <col min="15" max="15" width="15.28515625" style="2" bestFit="1" customWidth="1"/>
    <col min="16" max="16384" width="9.140625" style="2"/>
  </cols>
  <sheetData>
    <row r="1" spans="1:15" x14ac:dyDescent="0.25">
      <c r="A1" s="1" t="s">
        <v>192</v>
      </c>
    </row>
    <row r="2" spans="1:15" x14ac:dyDescent="0.25">
      <c r="A2" s="186" t="s">
        <v>13</v>
      </c>
      <c r="B2" s="187"/>
      <c r="C2" s="30">
        <v>43466</v>
      </c>
      <c r="D2" s="30">
        <v>43497</v>
      </c>
      <c r="E2" s="30">
        <v>43525</v>
      </c>
      <c r="F2" s="30">
        <v>43556</v>
      </c>
      <c r="G2" s="30">
        <v>43586</v>
      </c>
      <c r="H2" s="30">
        <v>43617</v>
      </c>
      <c r="I2" s="30">
        <v>43647</v>
      </c>
      <c r="J2" s="30">
        <v>43678</v>
      </c>
      <c r="K2" s="30">
        <v>43709</v>
      </c>
      <c r="L2" s="30">
        <v>43739</v>
      </c>
      <c r="M2" s="30">
        <v>43770</v>
      </c>
      <c r="N2" s="30">
        <v>43800</v>
      </c>
      <c r="O2" s="31" t="s">
        <v>12</v>
      </c>
    </row>
    <row r="3" spans="1:15" x14ac:dyDescent="0.25">
      <c r="A3" s="28" t="s">
        <v>14</v>
      </c>
      <c r="B3" s="28" t="s">
        <v>15</v>
      </c>
      <c r="C3" s="29">
        <v>1606444.05</v>
      </c>
      <c r="D3" s="29">
        <v>1625426.53</v>
      </c>
      <c r="E3" s="29">
        <v>1777251.5499999998</v>
      </c>
      <c r="F3" s="29">
        <v>1634451.6500000004</v>
      </c>
      <c r="G3" s="29">
        <v>1902899.9799999995</v>
      </c>
      <c r="H3" s="29">
        <v>1710495.2300000004</v>
      </c>
      <c r="I3" s="29">
        <v>1752205.42</v>
      </c>
      <c r="J3" s="29">
        <v>1860950.1899999995</v>
      </c>
      <c r="K3" s="29">
        <v>1946290.5300000012</v>
      </c>
      <c r="L3" s="29">
        <v>1906301.08</v>
      </c>
      <c r="M3" s="29">
        <v>1834734.9499999993</v>
      </c>
      <c r="N3" s="29">
        <v>1828573.6799999997</v>
      </c>
      <c r="O3" s="29">
        <f>SUM(C3:N3)</f>
        <v>21386024.84</v>
      </c>
    </row>
    <row r="4" spans="1:15" x14ac:dyDescent="0.25">
      <c r="A4" s="28" t="s">
        <v>16</v>
      </c>
      <c r="B4" s="28" t="s">
        <v>17</v>
      </c>
      <c r="C4" s="29">
        <v>664596.57999999996</v>
      </c>
      <c r="D4" s="29">
        <v>830559.74000000011</v>
      </c>
      <c r="E4" s="29">
        <v>775042.86999999988</v>
      </c>
      <c r="F4" s="29">
        <v>762839.98</v>
      </c>
      <c r="G4" s="29">
        <v>769354.20000000019</v>
      </c>
      <c r="H4" s="29">
        <v>792958.45000000019</v>
      </c>
      <c r="I4" s="29">
        <v>801820.71</v>
      </c>
      <c r="J4" s="29">
        <v>832160.51999999955</v>
      </c>
      <c r="K4" s="29">
        <v>807873.93000000063</v>
      </c>
      <c r="L4" s="29">
        <v>769868.1799999997</v>
      </c>
      <c r="M4" s="29">
        <v>759663.6799999997</v>
      </c>
      <c r="N4" s="29">
        <v>802014.58999999985</v>
      </c>
      <c r="O4" s="29">
        <f t="shared" ref="O4:O7" si="0">SUM(C4:N4)</f>
        <v>9368753.4299999997</v>
      </c>
    </row>
    <row r="5" spans="1:15" x14ac:dyDescent="0.25">
      <c r="A5" s="28" t="s">
        <v>18</v>
      </c>
      <c r="B5" s="28" t="s">
        <v>19</v>
      </c>
      <c r="C5" s="29">
        <v>549115.75</v>
      </c>
      <c r="D5" s="29">
        <v>671314.73</v>
      </c>
      <c r="E5" s="29">
        <v>580827.1100000001</v>
      </c>
      <c r="F5" s="29">
        <v>636779.30999999982</v>
      </c>
      <c r="G5" s="29">
        <v>639147.89999999991</v>
      </c>
      <c r="H5" s="29">
        <v>599571.70000000019</v>
      </c>
      <c r="I5" s="29">
        <v>626334.40000000037</v>
      </c>
      <c r="J5" s="29">
        <v>677044.44999999925</v>
      </c>
      <c r="K5" s="29">
        <v>764809.33000000007</v>
      </c>
      <c r="L5" s="29">
        <v>669990.60000000056</v>
      </c>
      <c r="M5" s="29">
        <v>618844.06999999937</v>
      </c>
      <c r="N5" s="29">
        <v>605639.84000000078</v>
      </c>
      <c r="O5" s="29">
        <f t="shared" si="0"/>
        <v>7639419.1900000004</v>
      </c>
    </row>
    <row r="6" spans="1:15" x14ac:dyDescent="0.25">
      <c r="A6" s="28" t="s">
        <v>20</v>
      </c>
      <c r="B6" s="28" t="s">
        <v>21</v>
      </c>
      <c r="C6" s="29">
        <v>282095.90999999997</v>
      </c>
      <c r="D6" s="29">
        <v>323727.05</v>
      </c>
      <c r="E6" s="29">
        <v>147917.60999999999</v>
      </c>
      <c r="F6" s="29">
        <v>85919.490000000107</v>
      </c>
      <c r="G6" s="29">
        <v>160604.97999999998</v>
      </c>
      <c r="H6" s="29">
        <v>202224.83000000007</v>
      </c>
      <c r="I6" s="29">
        <v>346195.18999999994</v>
      </c>
      <c r="J6" s="29">
        <v>151462.30000000005</v>
      </c>
      <c r="K6" s="29">
        <v>128195</v>
      </c>
      <c r="L6" s="29">
        <v>186803.92999999993</v>
      </c>
      <c r="M6" s="29">
        <v>218013.85000000009</v>
      </c>
      <c r="N6" s="29">
        <v>147972.54999999981</v>
      </c>
      <c r="O6" s="29">
        <f t="shared" si="0"/>
        <v>2381132.69</v>
      </c>
    </row>
    <row r="7" spans="1:15" x14ac:dyDescent="0.25">
      <c r="A7" s="28" t="s">
        <v>22</v>
      </c>
      <c r="B7" s="28" t="s">
        <v>23</v>
      </c>
      <c r="C7" s="29">
        <v>1105642.94</v>
      </c>
      <c r="D7" s="29">
        <v>1083845.1800000002</v>
      </c>
      <c r="E7" s="29">
        <v>1066805.4299999997</v>
      </c>
      <c r="F7" s="29">
        <v>1180128.8399999999</v>
      </c>
      <c r="G7" s="29">
        <v>1167648.8100000005</v>
      </c>
      <c r="H7" s="29">
        <v>1087104.6299999999</v>
      </c>
      <c r="I7" s="29">
        <v>1213890.1200000001</v>
      </c>
      <c r="J7" s="29">
        <v>1026301.4899999993</v>
      </c>
      <c r="K7" s="29">
        <v>1139322.42</v>
      </c>
      <c r="L7" s="29">
        <v>1093191.42</v>
      </c>
      <c r="M7" s="29">
        <v>1056028.3200000003</v>
      </c>
      <c r="N7" s="29">
        <v>1124571.92</v>
      </c>
      <c r="O7" s="29">
        <f t="shared" si="0"/>
        <v>13344481.52</v>
      </c>
    </row>
    <row r="8" spans="1:15" x14ac:dyDescent="0.25">
      <c r="A8" s="185" t="s">
        <v>12</v>
      </c>
      <c r="B8" s="185"/>
      <c r="C8" s="33">
        <f>SUM(C3:C7)</f>
        <v>4207895.2300000004</v>
      </c>
      <c r="D8" s="33">
        <f t="shared" ref="D8:O8" si="1">SUM(D3:D7)</f>
        <v>4534873.2300000004</v>
      </c>
      <c r="E8" s="33">
        <f t="shared" si="1"/>
        <v>4347844.57</v>
      </c>
      <c r="F8" s="33">
        <f t="shared" si="1"/>
        <v>4300119.2700000005</v>
      </c>
      <c r="G8" s="33">
        <f t="shared" si="1"/>
        <v>4639655.87</v>
      </c>
      <c r="H8" s="33">
        <f t="shared" si="1"/>
        <v>4392354.8400000008</v>
      </c>
      <c r="I8" s="33">
        <f t="shared" si="1"/>
        <v>4740445.84</v>
      </c>
      <c r="J8" s="33">
        <f>SUM(J3:J7)</f>
        <v>4547918.9499999974</v>
      </c>
      <c r="K8" s="33">
        <f t="shared" si="1"/>
        <v>4786491.2100000018</v>
      </c>
      <c r="L8" s="33">
        <f t="shared" si="1"/>
        <v>4626155.21</v>
      </c>
      <c r="M8" s="33">
        <f t="shared" si="1"/>
        <v>4487284.8699999992</v>
      </c>
      <c r="N8" s="33">
        <f t="shared" si="1"/>
        <v>4508772.58</v>
      </c>
      <c r="O8" s="33">
        <f t="shared" si="1"/>
        <v>54119811.670000002</v>
      </c>
    </row>
    <row r="9" spans="1:15" x14ac:dyDescent="0.25">
      <c r="O9" s="1"/>
    </row>
    <row r="10" spans="1:15" x14ac:dyDescent="0.25">
      <c r="A10" s="186" t="s">
        <v>24</v>
      </c>
      <c r="B10" s="187"/>
      <c r="C10" s="30">
        <v>43466</v>
      </c>
      <c r="D10" s="30">
        <v>43497</v>
      </c>
      <c r="E10" s="30">
        <v>43525</v>
      </c>
      <c r="F10" s="30">
        <v>43556</v>
      </c>
      <c r="G10" s="30">
        <v>43586</v>
      </c>
      <c r="H10" s="30">
        <v>43617</v>
      </c>
      <c r="I10" s="30">
        <v>43647</v>
      </c>
      <c r="J10" s="30">
        <v>43678</v>
      </c>
      <c r="K10" s="30">
        <v>43709</v>
      </c>
      <c r="L10" s="30">
        <v>43739</v>
      </c>
      <c r="M10" s="30">
        <v>43770</v>
      </c>
      <c r="N10" s="30">
        <v>43800</v>
      </c>
      <c r="O10" s="31" t="s">
        <v>12</v>
      </c>
    </row>
    <row r="11" spans="1:15" x14ac:dyDescent="0.25">
      <c r="A11" s="28" t="s">
        <v>25</v>
      </c>
      <c r="B11" s="28" t="s">
        <v>15</v>
      </c>
      <c r="C11" s="29">
        <v>1030510.56</v>
      </c>
      <c r="D11" s="29">
        <v>766203.99</v>
      </c>
      <c r="E11" s="29">
        <v>981827.72</v>
      </c>
      <c r="F11" s="29">
        <v>1250933.3399999999</v>
      </c>
      <c r="G11" s="29">
        <v>986046.64000000013</v>
      </c>
      <c r="H11" s="29">
        <v>1414418.4800000004</v>
      </c>
      <c r="I11" s="29">
        <v>1216502.5699999994</v>
      </c>
      <c r="J11" s="29">
        <v>1972029.4400000004</v>
      </c>
      <c r="K11" s="29">
        <v>1635912.459999999</v>
      </c>
      <c r="L11" s="29">
        <v>1107498.2700000014</v>
      </c>
      <c r="M11" s="29">
        <v>1606339.5099999998</v>
      </c>
      <c r="N11" s="29">
        <v>1636976.3599999994</v>
      </c>
      <c r="O11" s="29">
        <f t="shared" ref="O11:O14" si="2">SUM(C11:N11)</f>
        <v>15605199.34</v>
      </c>
    </row>
    <row r="12" spans="1:15" x14ac:dyDescent="0.25">
      <c r="A12" s="28" t="s">
        <v>26</v>
      </c>
      <c r="B12" s="28" t="s">
        <v>27</v>
      </c>
      <c r="C12" s="29">
        <v>2848.21</v>
      </c>
      <c r="D12" s="29">
        <v>4048.92</v>
      </c>
      <c r="E12" s="29">
        <v>22324.86</v>
      </c>
      <c r="F12" s="29">
        <v>5593.9200000000019</v>
      </c>
      <c r="G12" s="29">
        <v>8958.5599999999977</v>
      </c>
      <c r="H12" s="29">
        <v>9252.43</v>
      </c>
      <c r="I12" s="29">
        <v>4816.0999999999985</v>
      </c>
      <c r="J12" s="29">
        <v>6120.510000000002</v>
      </c>
      <c r="K12" s="29">
        <v>9579.2499999999927</v>
      </c>
      <c r="L12" s="29">
        <v>8028.1500000000087</v>
      </c>
      <c r="M12" s="29">
        <v>4276.3600000000006</v>
      </c>
      <c r="N12" s="29">
        <v>8357.0699999999924</v>
      </c>
      <c r="O12" s="29">
        <f t="shared" si="2"/>
        <v>94204.34</v>
      </c>
    </row>
    <row r="13" spans="1:15" x14ac:dyDescent="0.25">
      <c r="A13" s="28" t="s">
        <v>28</v>
      </c>
      <c r="B13" s="28" t="s">
        <v>21</v>
      </c>
      <c r="C13" s="29">
        <v>319369.96000000002</v>
      </c>
      <c r="D13" s="29">
        <v>255341.32</v>
      </c>
      <c r="E13" s="29">
        <v>168995.31999999995</v>
      </c>
      <c r="F13" s="29">
        <v>340963.46000000008</v>
      </c>
      <c r="G13" s="29">
        <v>170552.01</v>
      </c>
      <c r="H13" s="29">
        <v>164991.42999999993</v>
      </c>
      <c r="I13" s="29">
        <v>176683.04000000004</v>
      </c>
      <c r="J13" s="29">
        <v>274549.82000000007</v>
      </c>
      <c r="K13" s="29">
        <v>183012.62999999989</v>
      </c>
      <c r="L13" s="29">
        <v>373937.32999999984</v>
      </c>
      <c r="M13" s="29">
        <v>262853.20000000019</v>
      </c>
      <c r="N13" s="29">
        <v>338545.35000000009</v>
      </c>
      <c r="O13" s="29">
        <f t="shared" si="2"/>
        <v>3029794.87</v>
      </c>
    </row>
    <row r="14" spans="1:15" x14ac:dyDescent="0.25">
      <c r="A14" s="28" t="s">
        <v>29</v>
      </c>
      <c r="B14" s="28" t="s">
        <v>23</v>
      </c>
      <c r="C14" s="29">
        <v>167478.99</v>
      </c>
      <c r="D14" s="29">
        <v>182482.91999999998</v>
      </c>
      <c r="E14" s="29">
        <v>187526.99000000005</v>
      </c>
      <c r="F14" s="29">
        <v>246793.75</v>
      </c>
      <c r="G14" s="29">
        <v>180335.47999999998</v>
      </c>
      <c r="H14" s="29">
        <v>220093.03999999992</v>
      </c>
      <c r="I14" s="29">
        <v>204478.71999999997</v>
      </c>
      <c r="J14" s="29">
        <v>196823.79000000004</v>
      </c>
      <c r="K14" s="29">
        <v>221185.22999999998</v>
      </c>
      <c r="L14" s="29">
        <v>286877.01</v>
      </c>
      <c r="M14" s="29">
        <v>195412.29000000004</v>
      </c>
      <c r="N14" s="29">
        <v>250098.10000000009</v>
      </c>
      <c r="O14" s="29">
        <f t="shared" si="2"/>
        <v>2539586.31</v>
      </c>
    </row>
    <row r="15" spans="1:15" x14ac:dyDescent="0.25">
      <c r="A15" s="185" t="s">
        <v>12</v>
      </c>
      <c r="B15" s="185"/>
      <c r="C15" s="33">
        <f t="shared" ref="C15:O15" si="3">SUM(C11:C14)</f>
        <v>1520207.72</v>
      </c>
      <c r="D15" s="33">
        <f t="shared" si="3"/>
        <v>1208077.1499999999</v>
      </c>
      <c r="E15" s="33">
        <f t="shared" si="3"/>
        <v>1360674.89</v>
      </c>
      <c r="F15" s="33">
        <f t="shared" si="3"/>
        <v>1844284.4699999997</v>
      </c>
      <c r="G15" s="33">
        <f t="shared" si="3"/>
        <v>1345892.6900000002</v>
      </c>
      <c r="H15" s="33">
        <f t="shared" si="3"/>
        <v>1808755.3800000004</v>
      </c>
      <c r="I15" s="33">
        <f t="shared" si="3"/>
        <v>1602480.4299999995</v>
      </c>
      <c r="J15" s="33">
        <f t="shared" si="3"/>
        <v>2449523.5600000005</v>
      </c>
      <c r="K15" s="33">
        <f t="shared" si="3"/>
        <v>2049689.5699999989</v>
      </c>
      <c r="L15" s="33">
        <f t="shared" si="3"/>
        <v>1776340.7600000012</v>
      </c>
      <c r="M15" s="33">
        <f t="shared" si="3"/>
        <v>2068881.36</v>
      </c>
      <c r="N15" s="33">
        <f t="shared" si="3"/>
        <v>2233976.88</v>
      </c>
      <c r="O15" s="33">
        <f t="shared" si="3"/>
        <v>21268784.859999999</v>
      </c>
    </row>
    <row r="16" spans="1:15" x14ac:dyDescent="0.25">
      <c r="O16" s="1"/>
    </row>
    <row r="17" spans="1:15" x14ac:dyDescent="0.25">
      <c r="A17" s="186" t="s">
        <v>30</v>
      </c>
      <c r="B17" s="187"/>
      <c r="C17" s="30">
        <v>43466</v>
      </c>
      <c r="D17" s="30">
        <v>43497</v>
      </c>
      <c r="E17" s="30">
        <v>43525</v>
      </c>
      <c r="F17" s="30">
        <v>43556</v>
      </c>
      <c r="G17" s="30">
        <v>43586</v>
      </c>
      <c r="H17" s="30">
        <v>43617</v>
      </c>
      <c r="I17" s="30">
        <v>43647</v>
      </c>
      <c r="J17" s="30">
        <v>43678</v>
      </c>
      <c r="K17" s="30">
        <v>43709</v>
      </c>
      <c r="L17" s="30">
        <v>43739</v>
      </c>
      <c r="M17" s="30">
        <v>43770</v>
      </c>
      <c r="N17" s="30">
        <v>43800</v>
      </c>
      <c r="O17" s="31" t="s">
        <v>12</v>
      </c>
    </row>
    <row r="18" spans="1:15" x14ac:dyDescent="0.25">
      <c r="A18" s="28" t="s">
        <v>31</v>
      </c>
      <c r="B18" s="28" t="s">
        <v>32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f>SUM(C18:N18)</f>
        <v>0</v>
      </c>
    </row>
    <row r="19" spans="1:15" x14ac:dyDescent="0.25">
      <c r="A19" s="28" t="s">
        <v>33</v>
      </c>
      <c r="B19" s="28" t="s">
        <v>34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f t="shared" ref="O19:O27" si="4">SUM(C19:N19)</f>
        <v>0</v>
      </c>
    </row>
    <row r="20" spans="1:15" x14ac:dyDescent="0.25">
      <c r="A20" s="28" t="s">
        <v>35</v>
      </c>
      <c r="B20" s="28" t="s">
        <v>36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f t="shared" si="4"/>
        <v>0</v>
      </c>
    </row>
    <row r="21" spans="1:15" x14ac:dyDescent="0.25">
      <c r="A21" s="28" t="s">
        <v>37</v>
      </c>
      <c r="B21" s="28" t="s">
        <v>38</v>
      </c>
      <c r="C21" s="29">
        <v>1520412.74</v>
      </c>
      <c r="D21" s="29">
        <v>1461089.5999999999</v>
      </c>
      <c r="E21" s="29">
        <v>1411097.6000000006</v>
      </c>
      <c r="F21" s="29">
        <v>1484079.8099999996</v>
      </c>
      <c r="G21" s="29">
        <v>1458884.7999999998</v>
      </c>
      <c r="H21" s="29">
        <v>1541656.0000000009</v>
      </c>
      <c r="I21" s="29">
        <v>1481179.1999999993</v>
      </c>
      <c r="J21" s="29">
        <v>1557755.1999999993</v>
      </c>
      <c r="K21" s="29">
        <v>1574177.6000000015</v>
      </c>
      <c r="L21" s="29">
        <v>1545320</v>
      </c>
      <c r="M21" s="29">
        <v>1675676.7999999989</v>
      </c>
      <c r="N21" s="29">
        <v>1668852.7999999989</v>
      </c>
      <c r="O21" s="29">
        <f t="shared" si="4"/>
        <v>18380182.149999999</v>
      </c>
    </row>
    <row r="22" spans="1:15" x14ac:dyDescent="0.25">
      <c r="A22" s="28" t="s">
        <v>39</v>
      </c>
      <c r="B22" s="28" t="s">
        <v>40</v>
      </c>
      <c r="C22" s="29">
        <v>9499.2800000000007</v>
      </c>
      <c r="D22" s="29">
        <v>3604.7799999999988</v>
      </c>
      <c r="E22" s="29">
        <v>4413.74</v>
      </c>
      <c r="F22" s="29">
        <v>4438.0800000000017</v>
      </c>
      <c r="G22" s="29">
        <v>5070.5599999999977</v>
      </c>
      <c r="H22" s="29">
        <v>3373.2800000000025</v>
      </c>
      <c r="I22" s="29">
        <v>4262.1199999999953</v>
      </c>
      <c r="J22" s="29">
        <v>4468.4700000000012</v>
      </c>
      <c r="K22" s="29">
        <v>3327.8600000000006</v>
      </c>
      <c r="L22" s="29">
        <v>2476.8600000000006</v>
      </c>
      <c r="M22" s="29">
        <v>1960.4199999999983</v>
      </c>
      <c r="N22" s="29">
        <v>3076.8899999999994</v>
      </c>
      <c r="O22" s="29">
        <f t="shared" si="4"/>
        <v>49972.34</v>
      </c>
    </row>
    <row r="23" spans="1:15" x14ac:dyDescent="0.25">
      <c r="A23" s="28" t="s">
        <v>41</v>
      </c>
      <c r="B23" s="28" t="s">
        <v>42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15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f t="shared" si="4"/>
        <v>15</v>
      </c>
    </row>
    <row r="24" spans="1:15" x14ac:dyDescent="0.25">
      <c r="A24" s="28" t="s">
        <v>43</v>
      </c>
      <c r="B24" s="28" t="s">
        <v>44</v>
      </c>
      <c r="C24" s="29">
        <v>10248.17</v>
      </c>
      <c r="D24" s="29">
        <v>163.39999999999964</v>
      </c>
      <c r="E24" s="29">
        <v>2271.9799999999996</v>
      </c>
      <c r="F24" s="29">
        <v>42509.289999999994</v>
      </c>
      <c r="G24" s="29">
        <v>23816.740000000005</v>
      </c>
      <c r="H24" s="29">
        <v>19643</v>
      </c>
      <c r="I24" s="29">
        <v>10843</v>
      </c>
      <c r="J24" s="29">
        <v>8870.179999999993</v>
      </c>
      <c r="K24" s="29">
        <v>59535.759999999995</v>
      </c>
      <c r="L24" s="29">
        <v>10593.98000000001</v>
      </c>
      <c r="M24" s="29">
        <v>6174.0499999999884</v>
      </c>
      <c r="N24" s="29">
        <v>31773.860000000015</v>
      </c>
      <c r="O24" s="29">
        <f t="shared" si="4"/>
        <v>226443.41</v>
      </c>
    </row>
    <row r="25" spans="1:15" x14ac:dyDescent="0.25">
      <c r="A25" s="28" t="s">
        <v>45</v>
      </c>
      <c r="B25" s="28" t="s">
        <v>46</v>
      </c>
      <c r="C25" s="29">
        <v>70071.31</v>
      </c>
      <c r="D25" s="29">
        <v>15901.830000000002</v>
      </c>
      <c r="E25" s="29">
        <v>30877.869999999995</v>
      </c>
      <c r="F25" s="29">
        <v>15901.830000000002</v>
      </c>
      <c r="G25" s="29">
        <v>54720.130000000005</v>
      </c>
      <c r="H25" s="29">
        <v>41187.010000000009</v>
      </c>
      <c r="I25" s="29">
        <v>47494.73000000001</v>
      </c>
      <c r="J25" s="29">
        <v>47953.570000000007</v>
      </c>
      <c r="K25" s="29">
        <v>22668.389999999956</v>
      </c>
      <c r="L25" s="29">
        <v>22668.330000000016</v>
      </c>
      <c r="M25" s="29">
        <v>199634.65000000002</v>
      </c>
      <c r="N25" s="29">
        <v>54876.150000000023</v>
      </c>
      <c r="O25" s="29">
        <f t="shared" si="4"/>
        <v>623955.80000000005</v>
      </c>
    </row>
    <row r="26" spans="1:15" x14ac:dyDescent="0.25">
      <c r="A26" s="28" t="s">
        <v>47</v>
      </c>
      <c r="B26" s="28" t="s">
        <v>48</v>
      </c>
      <c r="C26" s="29">
        <v>350000</v>
      </c>
      <c r="D26" s="29">
        <v>350000</v>
      </c>
      <c r="E26" s="29">
        <v>350000</v>
      </c>
      <c r="F26" s="29">
        <v>350000</v>
      </c>
      <c r="G26" s="29">
        <v>350000</v>
      </c>
      <c r="H26" s="29">
        <v>350000</v>
      </c>
      <c r="I26" s="29">
        <v>350000</v>
      </c>
      <c r="J26" s="29">
        <v>350000</v>
      </c>
      <c r="K26" s="29">
        <v>350000</v>
      </c>
      <c r="L26" s="29">
        <v>350000</v>
      </c>
      <c r="M26" s="29">
        <v>350000</v>
      </c>
      <c r="N26" s="29">
        <v>350000</v>
      </c>
      <c r="O26" s="29">
        <f t="shared" si="4"/>
        <v>4200000</v>
      </c>
    </row>
    <row r="27" spans="1:15" x14ac:dyDescent="0.25">
      <c r="A27" s="28" t="s">
        <v>49</v>
      </c>
      <c r="B27" s="28" t="s">
        <v>50</v>
      </c>
      <c r="C27" s="29">
        <v>4890.8500000000004</v>
      </c>
      <c r="D27" s="29">
        <v>10330.949999999999</v>
      </c>
      <c r="E27" s="29">
        <v>13094.850000000002</v>
      </c>
      <c r="F27" s="29">
        <v>8199.93</v>
      </c>
      <c r="G27" s="29">
        <v>22501.019999999997</v>
      </c>
      <c r="H27" s="29">
        <v>3755.3899999999994</v>
      </c>
      <c r="I27" s="29">
        <v>6477.1400000000067</v>
      </c>
      <c r="J27" s="29">
        <v>4469.8300000000017</v>
      </c>
      <c r="K27" s="29">
        <v>6502.1499999999942</v>
      </c>
      <c r="L27" s="29">
        <v>312797.86</v>
      </c>
      <c r="M27" s="29">
        <v>20864.940000000002</v>
      </c>
      <c r="N27" s="29">
        <v>5123.7200000000303</v>
      </c>
      <c r="O27" s="29">
        <f t="shared" si="4"/>
        <v>419008.63</v>
      </c>
    </row>
    <row r="28" spans="1:15" x14ac:dyDescent="0.25">
      <c r="A28" s="185" t="s">
        <v>12</v>
      </c>
      <c r="B28" s="185"/>
      <c r="C28" s="33">
        <f>SUM(C18:C27)</f>
        <v>1965122.35</v>
      </c>
      <c r="D28" s="33">
        <f t="shared" ref="D28:M28" si="5">SUM(D18:D27)</f>
        <v>1841090.5599999998</v>
      </c>
      <c r="E28" s="33">
        <f t="shared" si="5"/>
        <v>1811756.0400000005</v>
      </c>
      <c r="F28" s="33">
        <f t="shared" si="5"/>
        <v>1905128.9399999997</v>
      </c>
      <c r="G28" s="33">
        <f t="shared" si="5"/>
        <v>1914993.25</v>
      </c>
      <c r="H28" s="33">
        <f t="shared" si="5"/>
        <v>1959614.6800000009</v>
      </c>
      <c r="I28" s="33">
        <f t="shared" si="5"/>
        <v>1900271.1899999992</v>
      </c>
      <c r="J28" s="33">
        <f t="shared" si="5"/>
        <v>1973517.2499999993</v>
      </c>
      <c r="K28" s="33">
        <f t="shared" si="5"/>
        <v>2016211.7600000014</v>
      </c>
      <c r="L28" s="33">
        <f t="shared" si="5"/>
        <v>2243857.0300000003</v>
      </c>
      <c r="M28" s="33">
        <f t="shared" si="5"/>
        <v>2254310.8599999989</v>
      </c>
      <c r="N28" s="33">
        <f>SUM(N18:N27)</f>
        <v>2113703.419999999</v>
      </c>
      <c r="O28" s="33">
        <f>SUM(O18:O27)</f>
        <v>23899577.329999998</v>
      </c>
    </row>
    <row r="29" spans="1:15" x14ac:dyDescent="0.25">
      <c r="O29" s="1"/>
    </row>
    <row r="30" spans="1:15" x14ac:dyDescent="0.25">
      <c r="A30" s="185" t="s">
        <v>12</v>
      </c>
      <c r="B30" s="185"/>
      <c r="C30" s="33">
        <f>C8+C15+C28</f>
        <v>7693225.3000000007</v>
      </c>
      <c r="D30" s="33">
        <f t="shared" ref="D30:O30" si="6">D8+D15+D28</f>
        <v>7584040.9400000004</v>
      </c>
      <c r="E30" s="33">
        <f t="shared" si="6"/>
        <v>7520275.5</v>
      </c>
      <c r="F30" s="33">
        <f t="shared" si="6"/>
        <v>8049532.6799999997</v>
      </c>
      <c r="G30" s="33">
        <f t="shared" si="6"/>
        <v>7900541.8100000005</v>
      </c>
      <c r="H30" s="33">
        <f t="shared" si="6"/>
        <v>8160724.9000000013</v>
      </c>
      <c r="I30" s="33">
        <f t="shared" si="6"/>
        <v>8243197.459999999</v>
      </c>
      <c r="J30" s="33">
        <f t="shared" si="6"/>
        <v>8970959.7599999979</v>
      </c>
      <c r="K30" s="33">
        <f t="shared" si="6"/>
        <v>8852392.5400000028</v>
      </c>
      <c r="L30" s="33">
        <f t="shared" si="6"/>
        <v>8646353</v>
      </c>
      <c r="M30" s="33">
        <f t="shared" si="6"/>
        <v>8810477.089999998</v>
      </c>
      <c r="N30" s="33">
        <f t="shared" si="6"/>
        <v>8856452.879999999</v>
      </c>
      <c r="O30" s="33">
        <f t="shared" si="6"/>
        <v>99288173.859999999</v>
      </c>
    </row>
    <row r="31" spans="1:15" x14ac:dyDescent="0.25">
      <c r="A31" s="1" t="s">
        <v>181</v>
      </c>
    </row>
  </sheetData>
  <mergeCells count="7">
    <mergeCell ref="A30:B30"/>
    <mergeCell ref="A2:B2"/>
    <mergeCell ref="A8:B8"/>
    <mergeCell ref="A10:B10"/>
    <mergeCell ref="A15:B15"/>
    <mergeCell ref="A17:B1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157"/>
  <sheetViews>
    <sheetView zoomScaleNormal="100" workbookViewId="0">
      <selection activeCell="A142" sqref="A142"/>
    </sheetView>
  </sheetViews>
  <sheetFormatPr defaultRowHeight="15" x14ac:dyDescent="0.25"/>
  <cols>
    <col min="1" max="1" width="64.28515625" style="65" customWidth="1"/>
    <col min="2" max="7" width="21.42578125" style="65" customWidth="1"/>
    <col min="8" max="8" width="22.5703125" style="65" customWidth="1"/>
    <col min="9" max="11" width="21.42578125" style="65" customWidth="1"/>
    <col min="12" max="12" width="22.140625" style="121" customWidth="1"/>
    <col min="13" max="13" width="21.42578125" style="121" customWidth="1"/>
    <col min="14" max="14" width="23.85546875" style="122" bestFit="1" customWidth="1"/>
    <col min="15" max="16384" width="9.140625" style="65"/>
  </cols>
  <sheetData>
    <row r="1" spans="1:14" x14ac:dyDescent="0.25">
      <c r="A1" s="190" t="s">
        <v>199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29.25" customHeight="1" thickBot="1" x14ac:dyDescent="0.3">
      <c r="A2" s="191" t="s">
        <v>193</v>
      </c>
      <c r="B2" s="193" t="s">
        <v>191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s="66" customFormat="1" ht="15" customHeight="1" thickTop="1" x14ac:dyDescent="0.25">
      <c r="A3" s="192"/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  <c r="N3" s="3" t="s">
        <v>12</v>
      </c>
    </row>
    <row r="4" spans="1:14" s="66" customFormat="1" ht="14.1" customHeight="1" x14ac:dyDescent="0.25">
      <c r="A4" s="67" t="s">
        <v>109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  <c r="M4" s="70"/>
      <c r="N4" s="71"/>
    </row>
    <row r="5" spans="1:14" s="66" customFormat="1" ht="14.1" customHeight="1" x14ac:dyDescent="0.25">
      <c r="A5" s="72" t="s">
        <v>110</v>
      </c>
      <c r="B5" s="123">
        <v>256757097.91</v>
      </c>
      <c r="C5" s="123">
        <f>480945121.12-256757097.91</f>
        <v>224188023.21000001</v>
      </c>
      <c r="D5" s="123">
        <f>715281053.53-480945121.12</f>
        <v>234335932.40999997</v>
      </c>
      <c r="E5" s="123">
        <f>943809154.91-715281053.53</f>
        <v>228528101.38</v>
      </c>
      <c r="F5" s="123">
        <v>239572200.59000003</v>
      </c>
      <c r="G5" s="123">
        <v>241101767.88000011</v>
      </c>
      <c r="H5" s="123">
        <v>254160898.68999982</v>
      </c>
      <c r="I5" s="123">
        <v>255602931.13000011</v>
      </c>
      <c r="J5" s="123">
        <v>257394890.58999991</v>
      </c>
      <c r="K5" s="123">
        <v>271204654.44999981</v>
      </c>
      <c r="L5" s="123">
        <v>275857889.18000031</v>
      </c>
      <c r="M5" s="123">
        <v>325473237.9000001</v>
      </c>
      <c r="N5" s="74">
        <f>SUM(B5:M5)</f>
        <v>3064177625.3200002</v>
      </c>
    </row>
    <row r="6" spans="1:14" s="66" customFormat="1" ht="14.1" customHeight="1" x14ac:dyDescent="0.25">
      <c r="A6" s="72" t="s">
        <v>111</v>
      </c>
      <c r="B6" s="123">
        <v>8269888.4199999999</v>
      </c>
      <c r="C6" s="123">
        <f>17019147.15-8269888.42</f>
        <v>8749258.7299999986</v>
      </c>
      <c r="D6" s="123">
        <f>25760523.52-17019147.15</f>
        <v>8741376.370000001</v>
      </c>
      <c r="E6" s="123">
        <f>34390417.17-25760523.52</f>
        <v>8629893.6500000022</v>
      </c>
      <c r="F6" s="123">
        <v>9109505.0199999958</v>
      </c>
      <c r="G6" s="123">
        <v>8591174.1600000039</v>
      </c>
      <c r="H6" s="123">
        <v>9260305.9799999967</v>
      </c>
      <c r="I6" s="123">
        <v>8960139.3299999982</v>
      </c>
      <c r="J6" s="123">
        <v>9078987</v>
      </c>
      <c r="K6" s="123">
        <v>8991948.700000003</v>
      </c>
      <c r="L6" s="123">
        <v>8810827.5900000036</v>
      </c>
      <c r="M6" s="123">
        <v>9072677.099999994</v>
      </c>
      <c r="N6" s="74">
        <f>SUM(B6:M6)</f>
        <v>106265982.05</v>
      </c>
    </row>
    <row r="7" spans="1:14" s="66" customFormat="1" ht="14.1" customHeight="1" x14ac:dyDescent="0.25">
      <c r="A7" s="75" t="s">
        <v>112</v>
      </c>
      <c r="B7" s="123">
        <v>550035.34</v>
      </c>
      <c r="C7" s="123">
        <f>1075984.4-550035.34</f>
        <v>525949.05999999994</v>
      </c>
      <c r="D7" s="123">
        <f>1640493.28-1075984.4</f>
        <v>564508.88000000012</v>
      </c>
      <c r="E7" s="123">
        <f>2227006.2-1640493.28</f>
        <v>586512.92000000016</v>
      </c>
      <c r="F7" s="123">
        <v>556105.98999999976</v>
      </c>
      <c r="G7" s="123">
        <v>609115.81000000006</v>
      </c>
      <c r="H7" s="123">
        <v>580987.24000000022</v>
      </c>
      <c r="I7" s="123">
        <v>528310.25</v>
      </c>
      <c r="J7" s="123">
        <v>465232</v>
      </c>
      <c r="K7" s="70">
        <v>-1774488.8900000001</v>
      </c>
      <c r="L7" s="123">
        <v>659936.83000000007</v>
      </c>
      <c r="M7" s="123">
        <v>628336.0299999998</v>
      </c>
      <c r="N7" s="74">
        <f t="shared" ref="N7:N13" si="0">SUM(B7:M7)</f>
        <v>4480541.46</v>
      </c>
    </row>
    <row r="8" spans="1:14" s="66" customFormat="1" ht="14.1" customHeight="1" x14ac:dyDescent="0.25">
      <c r="A8" s="72" t="s">
        <v>113</v>
      </c>
      <c r="B8" s="123">
        <v>0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74">
        <f t="shared" si="0"/>
        <v>0</v>
      </c>
    </row>
    <row r="9" spans="1:14" s="66" customFormat="1" ht="14.1" customHeight="1" x14ac:dyDescent="0.25">
      <c r="A9" s="72" t="s">
        <v>114</v>
      </c>
      <c r="B9" s="123">
        <v>0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74">
        <f t="shared" si="0"/>
        <v>0</v>
      </c>
    </row>
    <row r="10" spans="1:14" s="66" customFormat="1" ht="14.1" customHeight="1" x14ac:dyDescent="0.25">
      <c r="A10" s="72" t="s">
        <v>115</v>
      </c>
      <c r="B10" s="123">
        <v>148836160.34</v>
      </c>
      <c r="C10" s="123">
        <f>280230862.48-148836160.34</f>
        <v>131394702.14000002</v>
      </c>
      <c r="D10" s="123">
        <f>418023873.28-280230862.48</f>
        <v>137793010.79999995</v>
      </c>
      <c r="E10" s="123">
        <f>553224998.06-418023873.28</f>
        <v>135201124.77999997</v>
      </c>
      <c r="F10" s="123">
        <v>141342205.91000009</v>
      </c>
      <c r="G10" s="123">
        <v>144349099.23000002</v>
      </c>
      <c r="H10" s="123">
        <v>150403651.66999996</v>
      </c>
      <c r="I10" s="123">
        <v>152078521.89999998</v>
      </c>
      <c r="J10" s="123">
        <v>152493874.72000003</v>
      </c>
      <c r="K10" s="123">
        <v>159744382.79999995</v>
      </c>
      <c r="L10" s="123">
        <v>164663299.28999996</v>
      </c>
      <c r="M10" s="123">
        <v>193604838.5</v>
      </c>
      <c r="N10" s="74">
        <f t="shared" si="0"/>
        <v>1811904872.0799999</v>
      </c>
    </row>
    <row r="11" spans="1:14" s="66" customFormat="1" ht="14.1" customHeight="1" x14ac:dyDescent="0.25">
      <c r="A11" s="72" t="s">
        <v>116</v>
      </c>
      <c r="B11" s="123">
        <v>2590513.7599999998</v>
      </c>
      <c r="C11" s="123">
        <f>4857790.54-2590513.76</f>
        <v>2267276.7800000003</v>
      </c>
      <c r="D11" s="123">
        <f>7360981.3-4857790.54</f>
        <v>2503190.7599999998</v>
      </c>
      <c r="E11" s="123">
        <f>10310745.44-7360981.3</f>
        <v>2949764.1399999997</v>
      </c>
      <c r="F11" s="123">
        <v>2443505.2599999998</v>
      </c>
      <c r="G11" s="123">
        <v>2862535.5600000005</v>
      </c>
      <c r="H11" s="123">
        <v>2738717.83</v>
      </c>
      <c r="I11" s="123">
        <v>3548900.5</v>
      </c>
      <c r="J11" s="123">
        <v>3170322.0800000019</v>
      </c>
      <c r="K11" s="123">
        <v>2937822.2899999991</v>
      </c>
      <c r="L11" s="123">
        <v>3206410.2199999988</v>
      </c>
      <c r="M11" s="123">
        <v>3477899.1300000027</v>
      </c>
      <c r="N11" s="74">
        <f t="shared" si="0"/>
        <v>34696858.310000002</v>
      </c>
    </row>
    <row r="12" spans="1:14" s="66" customFormat="1" ht="14.1" customHeight="1" x14ac:dyDescent="0.25">
      <c r="A12" s="72" t="s">
        <v>117</v>
      </c>
      <c r="B12" s="123">
        <v>0</v>
      </c>
      <c r="C12" s="123">
        <v>0</v>
      </c>
      <c r="D12" s="123">
        <f>1412481.63-0</f>
        <v>1412481.63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723644.33000000007</v>
      </c>
      <c r="K12" s="123">
        <v>0</v>
      </c>
      <c r="L12" s="123">
        <v>0</v>
      </c>
      <c r="M12" s="123">
        <v>0</v>
      </c>
      <c r="N12" s="74">
        <f t="shared" si="0"/>
        <v>2136125.96</v>
      </c>
    </row>
    <row r="13" spans="1:14" s="66" customFormat="1" ht="14.1" customHeight="1" x14ac:dyDescent="0.25">
      <c r="A13" s="72" t="s">
        <v>118</v>
      </c>
      <c r="B13" s="123">
        <v>946344.61</v>
      </c>
      <c r="C13" s="123">
        <f>2001702.35-946344.61</f>
        <v>1055357.7400000002</v>
      </c>
      <c r="D13" s="123">
        <f>2990150.73-2001702.35</f>
        <v>988448.37999999989</v>
      </c>
      <c r="E13" s="123">
        <f>3980361.71-2990150.73</f>
        <v>990210.98</v>
      </c>
      <c r="F13" s="123">
        <v>963361.23000000045</v>
      </c>
      <c r="G13" s="123">
        <v>996315.58999999985</v>
      </c>
      <c r="H13" s="123">
        <v>928757.25999999978</v>
      </c>
      <c r="I13" s="123">
        <v>925639.86000000034</v>
      </c>
      <c r="J13" s="123">
        <v>933904.44999999925</v>
      </c>
      <c r="K13" s="123">
        <v>977154.78000000119</v>
      </c>
      <c r="L13" s="123">
        <v>999821.36999999918</v>
      </c>
      <c r="M13" s="123">
        <v>1016788.0800000001</v>
      </c>
      <c r="N13" s="74">
        <f t="shared" si="0"/>
        <v>11722104.33</v>
      </c>
    </row>
    <row r="14" spans="1:14" s="66" customFormat="1" ht="14.1" customHeight="1" x14ac:dyDescent="0.25">
      <c r="A14" s="67" t="s">
        <v>182</v>
      </c>
      <c r="B14" s="68">
        <f>SUM(B5:B13)</f>
        <v>417950040.38</v>
      </c>
      <c r="C14" s="68">
        <f t="shared" ref="C14:L14" si="1">SUM(C5:C13)</f>
        <v>368180567.65999997</v>
      </c>
      <c r="D14" s="68">
        <f t="shared" si="1"/>
        <v>386338949.2299999</v>
      </c>
      <c r="E14" s="68">
        <f>SUM(E5:E13)</f>
        <v>376885607.84999996</v>
      </c>
      <c r="F14" s="68">
        <f t="shared" si="1"/>
        <v>393986884.00000012</v>
      </c>
      <c r="G14" s="68">
        <f>SUM(G5:G13)</f>
        <v>398510008.23000014</v>
      </c>
      <c r="H14" s="68">
        <f t="shared" si="1"/>
        <v>418073318.66999978</v>
      </c>
      <c r="I14" s="68">
        <f t="shared" si="1"/>
        <v>421644442.97000009</v>
      </c>
      <c r="J14" s="68">
        <f>SUM(J5:J13)</f>
        <v>424260855.1699999</v>
      </c>
      <c r="K14" s="68">
        <f t="shared" si="1"/>
        <v>442081474.12999976</v>
      </c>
      <c r="L14" s="68">
        <f t="shared" si="1"/>
        <v>454198184.48000026</v>
      </c>
      <c r="M14" s="68">
        <v>533273776.74000007</v>
      </c>
      <c r="N14" s="76">
        <f t="shared" ref="N14:N23" si="2">SUM(B14:M14)</f>
        <v>5035384109.5099993</v>
      </c>
    </row>
    <row r="15" spans="1:14" s="77" customFormat="1" ht="14.1" customHeight="1" x14ac:dyDescent="0.25">
      <c r="A15" s="72" t="s">
        <v>119</v>
      </c>
      <c r="B15" s="124">
        <v>1529912.02</v>
      </c>
      <c r="C15" s="124">
        <f>2994606.4-1529912.02</f>
        <v>1464694.38</v>
      </c>
      <c r="D15" s="124">
        <f>4410117.74-2994606.4</f>
        <v>1415511.3400000003</v>
      </c>
      <c r="E15" s="124">
        <f>5898635.63-4410117.74</f>
        <v>1488517.8899999997</v>
      </c>
      <c r="F15" s="123">
        <v>1463955.3600000003</v>
      </c>
      <c r="G15" s="123">
        <v>1545029.2799999993</v>
      </c>
      <c r="H15" s="124">
        <v>1485456.3200000003</v>
      </c>
      <c r="I15" s="124">
        <v>1562223.67</v>
      </c>
      <c r="J15" s="124">
        <v>1577505.4600000009</v>
      </c>
      <c r="K15" s="123">
        <v>1547796.8599999994</v>
      </c>
      <c r="L15" s="124">
        <v>1677637.2200000007</v>
      </c>
      <c r="M15" s="124">
        <v>1671929.6899999976</v>
      </c>
      <c r="N15" s="74">
        <f t="shared" si="2"/>
        <v>18430169.489999998</v>
      </c>
    </row>
    <row r="16" spans="1:14" s="66" customFormat="1" ht="14.1" customHeight="1" x14ac:dyDescent="0.25">
      <c r="A16" s="72" t="s">
        <v>120</v>
      </c>
      <c r="B16" s="124">
        <v>1474760.35</v>
      </c>
      <c r="C16" s="124">
        <f>3039973.43-1474760.35</f>
        <v>1565213.08</v>
      </c>
      <c r="D16" s="124">
        <f>4374466.54-3039973.43</f>
        <v>1334493.1099999999</v>
      </c>
      <c r="E16" s="124">
        <v>1651840.3099999996</v>
      </c>
      <c r="F16" s="123">
        <v>3688142.99</v>
      </c>
      <c r="G16" s="123">
        <v>2201970.0500000007</v>
      </c>
      <c r="H16" s="124">
        <v>1844801.4699999988</v>
      </c>
      <c r="I16" s="124">
        <v>1811497.870000001</v>
      </c>
      <c r="J16" s="124">
        <v>1441606.1799999997</v>
      </c>
      <c r="K16" s="123">
        <v>2559669.8500000015</v>
      </c>
      <c r="L16" s="124">
        <v>2730997.4799999967</v>
      </c>
      <c r="M16" s="124">
        <v>2008030.9200000018</v>
      </c>
      <c r="N16" s="74">
        <f t="shared" si="2"/>
        <v>24313023.66</v>
      </c>
    </row>
    <row r="17" spans="1:14" s="66" customFormat="1" ht="14.1" customHeight="1" x14ac:dyDescent="0.25">
      <c r="A17" s="72" t="s">
        <v>121</v>
      </c>
      <c r="B17" s="124">
        <v>0</v>
      </c>
      <c r="C17" s="124">
        <v>0</v>
      </c>
      <c r="D17" s="124">
        <f>78077.98-0</f>
        <v>78077.98</v>
      </c>
      <c r="E17" s="124">
        <v>0</v>
      </c>
      <c r="F17" s="123">
        <v>0</v>
      </c>
      <c r="G17" s="123">
        <v>45599.05</v>
      </c>
      <c r="H17" s="124">
        <v>0</v>
      </c>
      <c r="I17" s="124">
        <v>0</v>
      </c>
      <c r="J17" s="124">
        <v>124315.54000000001</v>
      </c>
      <c r="K17" s="123">
        <v>255312</v>
      </c>
      <c r="L17" s="124">
        <v>233597.55</v>
      </c>
      <c r="M17" s="124">
        <v>373098.49000000011</v>
      </c>
      <c r="N17" s="78">
        <f t="shared" si="2"/>
        <v>1110000.6100000001</v>
      </c>
    </row>
    <row r="18" spans="1:14" s="79" customFormat="1" ht="14.1" customHeight="1" x14ac:dyDescent="0.25">
      <c r="A18" s="72" t="s">
        <v>122</v>
      </c>
      <c r="B18" s="124">
        <v>0</v>
      </c>
      <c r="C18" s="124">
        <v>0</v>
      </c>
      <c r="D18" s="124">
        <v>0</v>
      </c>
      <c r="E18" s="124">
        <v>0</v>
      </c>
      <c r="F18" s="123">
        <v>0</v>
      </c>
      <c r="G18" s="123">
        <v>0</v>
      </c>
      <c r="H18" s="124">
        <v>0</v>
      </c>
      <c r="I18" s="124">
        <v>0</v>
      </c>
      <c r="J18" s="124">
        <v>0</v>
      </c>
      <c r="K18" s="123">
        <v>0</v>
      </c>
      <c r="L18" s="124">
        <v>0</v>
      </c>
      <c r="M18" s="124">
        <v>0</v>
      </c>
      <c r="N18" s="78">
        <f t="shared" si="2"/>
        <v>0</v>
      </c>
    </row>
    <row r="19" spans="1:14" s="79" customFormat="1" ht="14.1" customHeight="1" x14ac:dyDescent="0.25">
      <c r="A19" s="67" t="s">
        <v>183</v>
      </c>
      <c r="B19" s="68">
        <f t="shared" ref="B19:M19" si="3">SUM(B15:B18)</f>
        <v>3004672.37</v>
      </c>
      <c r="C19" s="68">
        <f t="shared" si="3"/>
        <v>3029907.46</v>
      </c>
      <c r="D19" s="68">
        <f t="shared" si="3"/>
        <v>2828082.43</v>
      </c>
      <c r="E19" s="68">
        <f t="shared" si="3"/>
        <v>3140358.1999999993</v>
      </c>
      <c r="F19" s="68">
        <f t="shared" si="3"/>
        <v>5152098.3500000006</v>
      </c>
      <c r="G19" s="68">
        <f>SUM(G15:G18)</f>
        <v>3792598.38</v>
      </c>
      <c r="H19" s="68">
        <f t="shared" si="3"/>
        <v>3330257.7899999991</v>
      </c>
      <c r="I19" s="68">
        <f t="shared" si="3"/>
        <v>3373721.540000001</v>
      </c>
      <c r="J19" s="68">
        <f t="shared" si="3"/>
        <v>3143427.1800000006</v>
      </c>
      <c r="K19" s="68">
        <f t="shared" si="3"/>
        <v>4362778.7100000009</v>
      </c>
      <c r="L19" s="68">
        <f t="shared" si="3"/>
        <v>4642232.2499999972</v>
      </c>
      <c r="M19" s="68">
        <f t="shared" si="3"/>
        <v>4053059.0999999996</v>
      </c>
      <c r="N19" s="80">
        <f>SUM(B19:M19)</f>
        <v>43853193.759999998</v>
      </c>
    </row>
    <row r="20" spans="1:14" s="79" customFormat="1" ht="14.1" customHeight="1" x14ac:dyDescent="0.25">
      <c r="A20" s="72" t="s">
        <v>123</v>
      </c>
      <c r="B20" s="124">
        <v>0</v>
      </c>
      <c r="C20" s="124">
        <v>0</v>
      </c>
      <c r="D20" s="124">
        <v>0</v>
      </c>
      <c r="E20" s="124">
        <v>0</v>
      </c>
      <c r="F20" s="70">
        <v>-40356.35</v>
      </c>
      <c r="G20" s="123">
        <v>0</v>
      </c>
      <c r="H20" s="124">
        <v>0</v>
      </c>
      <c r="I20" s="70">
        <v>-10000</v>
      </c>
      <c r="J20" s="70">
        <v>-61352.73</v>
      </c>
      <c r="K20" s="123">
        <v>0</v>
      </c>
      <c r="L20" s="70">
        <v>-11020.240000000005</v>
      </c>
      <c r="M20" s="124">
        <v>0</v>
      </c>
      <c r="N20" s="78">
        <f t="shared" si="2"/>
        <v>-122729.32</v>
      </c>
    </row>
    <row r="21" spans="1:14" s="79" customFormat="1" ht="14.1" customHeight="1" x14ac:dyDescent="0.25">
      <c r="A21" s="72" t="s">
        <v>124</v>
      </c>
      <c r="B21" s="124">
        <v>0</v>
      </c>
      <c r="C21" s="124">
        <v>0</v>
      </c>
      <c r="D21" s="124">
        <v>0</v>
      </c>
      <c r="E21" s="124">
        <v>0</v>
      </c>
      <c r="F21" s="123">
        <v>0</v>
      </c>
      <c r="G21" s="123">
        <v>0</v>
      </c>
      <c r="H21" s="124">
        <v>0</v>
      </c>
      <c r="I21" s="124">
        <v>0</v>
      </c>
      <c r="J21" s="123">
        <v>0</v>
      </c>
      <c r="K21" s="123">
        <v>0</v>
      </c>
      <c r="L21" s="124">
        <v>0</v>
      </c>
      <c r="M21" s="124">
        <v>0</v>
      </c>
      <c r="N21" s="78">
        <f t="shared" si="2"/>
        <v>0</v>
      </c>
    </row>
    <row r="22" spans="1:14" s="79" customFormat="1" ht="14.1" customHeight="1" x14ac:dyDescent="0.25">
      <c r="A22" s="72" t="s">
        <v>125</v>
      </c>
      <c r="B22" s="124">
        <v>0</v>
      </c>
      <c r="C22" s="124">
        <v>0</v>
      </c>
      <c r="D22" s="124">
        <v>0</v>
      </c>
      <c r="E22" s="124">
        <v>0</v>
      </c>
      <c r="F22" s="123">
        <v>0</v>
      </c>
      <c r="G22" s="123">
        <v>0</v>
      </c>
      <c r="H22" s="124">
        <v>0</v>
      </c>
      <c r="I22" s="124">
        <v>0</v>
      </c>
      <c r="J22" s="123">
        <v>0</v>
      </c>
      <c r="K22" s="123">
        <v>0</v>
      </c>
      <c r="L22" s="124">
        <v>0</v>
      </c>
      <c r="M22" s="124">
        <v>0</v>
      </c>
      <c r="N22" s="78">
        <f t="shared" si="2"/>
        <v>0</v>
      </c>
    </row>
    <row r="23" spans="1:14" s="79" customFormat="1" ht="14.1" customHeight="1" x14ac:dyDescent="0.25">
      <c r="A23" s="72" t="s">
        <v>126</v>
      </c>
      <c r="B23" s="124">
        <v>0</v>
      </c>
      <c r="C23" s="124">
        <v>0</v>
      </c>
      <c r="D23" s="70">
        <f>-78077.98+0</f>
        <v>-78077.98</v>
      </c>
      <c r="E23" s="124">
        <v>0</v>
      </c>
      <c r="F23" s="123">
        <v>0</v>
      </c>
      <c r="G23" s="70">
        <v>-45599.05</v>
      </c>
      <c r="H23" s="124">
        <v>0</v>
      </c>
      <c r="I23" s="124">
        <v>0</v>
      </c>
      <c r="J23" s="70">
        <v>-124315.54000000001</v>
      </c>
      <c r="K23" s="123">
        <v>0</v>
      </c>
      <c r="L23" s="124">
        <v>0</v>
      </c>
      <c r="M23" s="70">
        <v>-373098.49000000005</v>
      </c>
      <c r="N23" s="85">
        <f t="shared" si="2"/>
        <v>-621091.06000000006</v>
      </c>
    </row>
    <row r="24" spans="1:14" s="79" customFormat="1" ht="14.1" customHeight="1" x14ac:dyDescent="0.25">
      <c r="A24" s="72" t="s">
        <v>127</v>
      </c>
      <c r="B24" s="124">
        <v>0</v>
      </c>
      <c r="C24" s="124">
        <v>0</v>
      </c>
      <c r="D24" s="124">
        <v>0</v>
      </c>
      <c r="E24" s="124">
        <v>0</v>
      </c>
      <c r="F24" s="123">
        <v>0</v>
      </c>
      <c r="G24" s="123">
        <v>0</v>
      </c>
      <c r="H24" s="124">
        <v>0</v>
      </c>
      <c r="I24" s="124">
        <v>0</v>
      </c>
      <c r="J24" s="123">
        <v>0</v>
      </c>
      <c r="K24" s="123">
        <v>0</v>
      </c>
      <c r="L24" s="124">
        <v>0</v>
      </c>
      <c r="M24" s="124">
        <v>0</v>
      </c>
      <c r="N24" s="78">
        <f>SUM(B24:M24)</f>
        <v>0</v>
      </c>
    </row>
    <row r="25" spans="1:14" s="79" customFormat="1" ht="14.1" customHeight="1" x14ac:dyDescent="0.25">
      <c r="A25" s="67" t="s">
        <v>128</v>
      </c>
      <c r="B25" s="68">
        <f t="shared" ref="B25:N25" si="4">SUM(B20:B24)</f>
        <v>0</v>
      </c>
      <c r="C25" s="68">
        <f t="shared" si="4"/>
        <v>0</v>
      </c>
      <c r="D25" s="69">
        <f t="shared" si="4"/>
        <v>-78077.98</v>
      </c>
      <c r="E25" s="68">
        <f t="shared" si="4"/>
        <v>0</v>
      </c>
      <c r="F25" s="69">
        <f t="shared" si="4"/>
        <v>-40356.35</v>
      </c>
      <c r="G25" s="69">
        <f>SUM(G20:G24)</f>
        <v>-45599.05</v>
      </c>
      <c r="H25" s="68">
        <f t="shared" si="4"/>
        <v>0</v>
      </c>
      <c r="I25" s="69">
        <f t="shared" si="4"/>
        <v>-10000</v>
      </c>
      <c r="J25" s="69">
        <f t="shared" si="4"/>
        <v>-185668.27000000002</v>
      </c>
      <c r="K25" s="68">
        <f t="shared" si="4"/>
        <v>0</v>
      </c>
      <c r="L25" s="69">
        <f t="shared" si="4"/>
        <v>-11020.240000000005</v>
      </c>
      <c r="M25" s="69">
        <f t="shared" si="4"/>
        <v>-373098.49000000005</v>
      </c>
      <c r="N25" s="106">
        <f t="shared" si="4"/>
        <v>-743820.38000000012</v>
      </c>
    </row>
    <row r="26" spans="1:14" s="79" customFormat="1" ht="14.1" customHeight="1" x14ac:dyDescent="0.25">
      <c r="A26" s="72" t="s">
        <v>129</v>
      </c>
      <c r="B26" s="73">
        <v>0</v>
      </c>
      <c r="C26" s="73">
        <v>0</v>
      </c>
      <c r="D26" s="73">
        <v>0</v>
      </c>
      <c r="E26" s="73">
        <v>7549.23</v>
      </c>
      <c r="F26" s="123">
        <v>0</v>
      </c>
      <c r="G26" s="123">
        <v>0</v>
      </c>
      <c r="H26" s="73">
        <v>0</v>
      </c>
      <c r="I26" s="73">
        <v>50254.270000000004</v>
      </c>
      <c r="J26" s="73">
        <v>0</v>
      </c>
      <c r="K26" s="73">
        <v>7329.0800000000017</v>
      </c>
      <c r="L26" s="73">
        <v>0</v>
      </c>
      <c r="M26" s="73">
        <v>0</v>
      </c>
      <c r="N26" s="78">
        <f>SUM(B26:M26)</f>
        <v>65132.58</v>
      </c>
    </row>
    <row r="27" spans="1:14" s="79" customFormat="1" ht="12.75" customHeight="1" x14ac:dyDescent="0.25">
      <c r="A27" s="67" t="s">
        <v>130</v>
      </c>
      <c r="B27" s="82">
        <f t="shared" ref="B27:M27" si="5">+B14+B19+B25+B26</f>
        <v>420954712.75</v>
      </c>
      <c r="C27" s="82">
        <f t="shared" si="5"/>
        <v>371210475.11999995</v>
      </c>
      <c r="D27" s="82">
        <f>+D14+D19+D25+D26</f>
        <v>389088953.67999989</v>
      </c>
      <c r="E27" s="82">
        <f>+E14+E19+E25+E26</f>
        <v>380033515.27999997</v>
      </c>
      <c r="F27" s="82">
        <f t="shared" si="5"/>
        <v>399098626.00000012</v>
      </c>
      <c r="G27" s="82">
        <f>+G14+G19+G25+G26</f>
        <v>402257007.56000012</v>
      </c>
      <c r="H27" s="82">
        <f t="shared" si="5"/>
        <v>421403576.4599998</v>
      </c>
      <c r="I27" s="82">
        <f t="shared" si="5"/>
        <v>425058418.78000009</v>
      </c>
      <c r="J27" s="82">
        <f t="shared" si="5"/>
        <v>427218614.07999992</v>
      </c>
      <c r="K27" s="82">
        <f t="shared" si="5"/>
        <v>446451581.91999972</v>
      </c>
      <c r="L27" s="82">
        <f t="shared" si="5"/>
        <v>458829396.49000025</v>
      </c>
      <c r="M27" s="82">
        <f t="shared" si="5"/>
        <v>536953737.35000002</v>
      </c>
      <c r="N27" s="82">
        <f>SUM(B27:M27)</f>
        <v>5078558615.4699993</v>
      </c>
    </row>
    <row r="28" spans="1:14" s="79" customFormat="1" ht="8.1" customHeight="1" x14ac:dyDescent="0.25">
      <c r="A28" s="83"/>
      <c r="B28" s="73"/>
      <c r="C28" s="73"/>
      <c r="D28" s="73"/>
      <c r="E28" s="73"/>
      <c r="F28" s="73"/>
      <c r="G28" s="73"/>
      <c r="H28" s="68"/>
      <c r="I28" s="68"/>
      <c r="J28" s="68"/>
      <c r="K28" s="68"/>
      <c r="L28" s="68"/>
      <c r="M28" s="68"/>
      <c r="N28" s="80"/>
    </row>
    <row r="29" spans="1:14" s="79" customFormat="1" ht="14.1" customHeight="1" x14ac:dyDescent="0.25">
      <c r="A29" s="84" t="s">
        <v>131</v>
      </c>
      <c r="B29" s="73">
        <v>4059355.16</v>
      </c>
      <c r="C29" s="73">
        <f>8239475.64-4059355.16</f>
        <v>4180120.4799999995</v>
      </c>
      <c r="D29" s="73">
        <f>12796233.12-8239475.64</f>
        <v>4556757.4799999995</v>
      </c>
      <c r="E29" s="73">
        <f>17766391.56-12796233.12</f>
        <v>4970158.4399999995</v>
      </c>
      <c r="F29" s="123">
        <v>5429068.7600000016</v>
      </c>
      <c r="G29" s="123">
        <v>5355699.9800000004</v>
      </c>
      <c r="H29" s="73">
        <v>5382161.620000001</v>
      </c>
      <c r="I29" s="73">
        <v>4617447.7899999991</v>
      </c>
      <c r="J29" s="73">
        <v>4804274.2699999958</v>
      </c>
      <c r="K29" s="73">
        <v>4826646.8300000057</v>
      </c>
      <c r="L29" s="73">
        <v>5652721.2699999958</v>
      </c>
      <c r="M29" s="73">
        <v>11681892.660000004</v>
      </c>
      <c r="N29" s="78">
        <f t="shared" ref="N29:N34" si="6">SUM(B29:M29)</f>
        <v>65516304.740000002</v>
      </c>
    </row>
    <row r="30" spans="1:14" s="79" customFormat="1" ht="14.1" customHeight="1" x14ac:dyDescent="0.25">
      <c r="A30" s="72" t="s">
        <v>132</v>
      </c>
      <c r="B30" s="70">
        <v>-1319124.3700000001</v>
      </c>
      <c r="C30" s="70">
        <f>-2578423.56+1319124.37</f>
        <v>-1259299.19</v>
      </c>
      <c r="D30" s="70">
        <f>-3849048.27+2578423.56</f>
        <v>-1270624.71</v>
      </c>
      <c r="E30" s="70">
        <f>-5136180.43+3849048.27</f>
        <v>-1287132.1599999997</v>
      </c>
      <c r="F30" s="70">
        <v>-1360385.5899999999</v>
      </c>
      <c r="G30" s="70">
        <v>-1314473.83</v>
      </c>
      <c r="H30" s="70">
        <v>-1332811.4800000004</v>
      </c>
      <c r="I30" s="70">
        <v>-1343543.6300000008</v>
      </c>
      <c r="J30" s="70">
        <v>-1362348.0699999984</v>
      </c>
      <c r="K30" s="70">
        <v>-1367905.7700000014</v>
      </c>
      <c r="L30" s="70">
        <v>-1415440.9799999986</v>
      </c>
      <c r="M30" s="70">
        <v>-8132393.0800000001</v>
      </c>
      <c r="N30" s="85">
        <f t="shared" si="6"/>
        <v>-22765482.859999999</v>
      </c>
    </row>
    <row r="31" spans="1:14" s="79" customFormat="1" ht="14.1" customHeight="1" x14ac:dyDescent="0.25">
      <c r="A31" s="72" t="s">
        <v>133</v>
      </c>
      <c r="B31" s="124">
        <v>0</v>
      </c>
      <c r="C31" s="124">
        <v>0</v>
      </c>
      <c r="D31" s="70">
        <f>-233266.09</f>
        <v>-233266.09</v>
      </c>
      <c r="E31" s="124">
        <v>0</v>
      </c>
      <c r="F31" s="123">
        <v>0</v>
      </c>
      <c r="G31" s="70">
        <v>-73590.66</v>
      </c>
      <c r="H31" s="124">
        <v>0</v>
      </c>
      <c r="I31" s="123">
        <v>0</v>
      </c>
      <c r="J31" s="70">
        <v>-246131.5</v>
      </c>
      <c r="K31" s="123">
        <v>0</v>
      </c>
      <c r="L31" s="73">
        <v>0</v>
      </c>
      <c r="M31" s="70">
        <v>-82011.839999999967</v>
      </c>
      <c r="N31" s="85">
        <f t="shared" si="6"/>
        <v>-635000.09</v>
      </c>
    </row>
    <row r="32" spans="1:14" s="79" customFormat="1" ht="14.1" customHeight="1" x14ac:dyDescent="0.25">
      <c r="A32" s="72" t="s">
        <v>134</v>
      </c>
      <c r="B32" s="124">
        <f>-B26</f>
        <v>0</v>
      </c>
      <c r="C32" s="124">
        <f>-C26</f>
        <v>0</v>
      </c>
      <c r="D32" s="124">
        <f>-D26</f>
        <v>0</v>
      </c>
      <c r="E32" s="70">
        <f>-E26</f>
        <v>-7549.23</v>
      </c>
      <c r="F32" s="123">
        <v>0</v>
      </c>
      <c r="G32" s="123">
        <v>0</v>
      </c>
      <c r="H32" s="124">
        <v>0</v>
      </c>
      <c r="I32" s="70">
        <v>-50254.270000000004</v>
      </c>
      <c r="J32" s="123">
        <v>0</v>
      </c>
      <c r="K32" s="70">
        <v>-7329.0800000000017</v>
      </c>
      <c r="L32" s="73">
        <v>0</v>
      </c>
      <c r="M32" s="70">
        <v>0</v>
      </c>
      <c r="N32" s="85">
        <f t="shared" si="6"/>
        <v>-65132.58</v>
      </c>
    </row>
    <row r="33" spans="1:14" s="79" customFormat="1" ht="14.1" customHeight="1" x14ac:dyDescent="0.25">
      <c r="A33" s="72" t="s">
        <v>146</v>
      </c>
      <c r="B33" s="124">
        <v>0</v>
      </c>
      <c r="C33" s="124">
        <v>0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3">
        <v>0</v>
      </c>
      <c r="J33" s="123">
        <v>0</v>
      </c>
      <c r="K33" s="70">
        <v>-7185.04</v>
      </c>
      <c r="L33" s="73">
        <v>0</v>
      </c>
      <c r="M33" s="70">
        <v>-57880.37</v>
      </c>
      <c r="N33" s="78">
        <f t="shared" si="6"/>
        <v>-65065.41</v>
      </c>
    </row>
    <row r="34" spans="1:14" s="79" customFormat="1" ht="14.1" customHeight="1" x14ac:dyDescent="0.25">
      <c r="A34" s="84" t="s">
        <v>147</v>
      </c>
      <c r="B34" s="124">
        <v>0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70">
        <v>-777.92</v>
      </c>
      <c r="J34" s="123">
        <v>0</v>
      </c>
      <c r="K34" s="123">
        <v>0</v>
      </c>
      <c r="L34" s="70">
        <v>-35106.120000000003</v>
      </c>
      <c r="M34" s="124">
        <v>0</v>
      </c>
      <c r="N34" s="78">
        <f t="shared" si="6"/>
        <v>-35884.04</v>
      </c>
    </row>
    <row r="35" spans="1:14" s="79" customFormat="1" ht="14.1" customHeight="1" x14ac:dyDescent="0.25">
      <c r="A35" s="67" t="s">
        <v>135</v>
      </c>
      <c r="B35" s="86">
        <f t="shared" ref="B35:M35" si="7">SUM(B29:B34)</f>
        <v>2740230.79</v>
      </c>
      <c r="C35" s="86">
        <f t="shared" si="7"/>
        <v>2920821.2899999996</v>
      </c>
      <c r="D35" s="86">
        <f t="shared" si="7"/>
        <v>3052866.6799999997</v>
      </c>
      <c r="E35" s="86">
        <f t="shared" si="7"/>
        <v>3675477.05</v>
      </c>
      <c r="F35" s="86">
        <f t="shared" si="7"/>
        <v>4068683.1700000018</v>
      </c>
      <c r="G35" s="86">
        <f t="shared" si="7"/>
        <v>3967635.49</v>
      </c>
      <c r="H35" s="86">
        <f t="shared" si="7"/>
        <v>4049350.1400000006</v>
      </c>
      <c r="I35" s="86">
        <f t="shared" si="7"/>
        <v>3222871.9699999983</v>
      </c>
      <c r="J35" s="86">
        <f t="shared" si="7"/>
        <v>3195794.6999999974</v>
      </c>
      <c r="K35" s="86">
        <f t="shared" si="7"/>
        <v>3444226.9400000041</v>
      </c>
      <c r="L35" s="86">
        <f t="shared" si="7"/>
        <v>4202174.1699999971</v>
      </c>
      <c r="M35" s="86">
        <f t="shared" si="7"/>
        <v>3409607.3700000038</v>
      </c>
      <c r="N35" s="86">
        <f>SUM(N29:N34)</f>
        <v>41949739.760000005</v>
      </c>
    </row>
    <row r="36" spans="1:14" s="66" customFormat="1" ht="14.1" customHeight="1" x14ac:dyDescent="0.25">
      <c r="A36" s="67" t="s">
        <v>136</v>
      </c>
      <c r="B36" s="82">
        <f t="shared" ref="B36:N36" si="8">B35</f>
        <v>2740230.79</v>
      </c>
      <c r="C36" s="82">
        <f t="shared" si="8"/>
        <v>2920821.2899999996</v>
      </c>
      <c r="D36" s="82">
        <f t="shared" si="8"/>
        <v>3052866.6799999997</v>
      </c>
      <c r="E36" s="82">
        <f t="shared" si="8"/>
        <v>3675477.05</v>
      </c>
      <c r="F36" s="82">
        <f t="shared" si="8"/>
        <v>4068683.1700000018</v>
      </c>
      <c r="G36" s="82">
        <f t="shared" si="8"/>
        <v>3967635.49</v>
      </c>
      <c r="H36" s="82">
        <f t="shared" si="8"/>
        <v>4049350.1400000006</v>
      </c>
      <c r="I36" s="82">
        <f t="shared" si="8"/>
        <v>3222871.9699999983</v>
      </c>
      <c r="J36" s="82">
        <f t="shared" si="8"/>
        <v>3195794.6999999974</v>
      </c>
      <c r="K36" s="82">
        <f t="shared" si="8"/>
        <v>3444226.9400000041</v>
      </c>
      <c r="L36" s="82">
        <f t="shared" si="8"/>
        <v>4202174.1699999971</v>
      </c>
      <c r="M36" s="82">
        <f t="shared" si="8"/>
        <v>3409607.3700000038</v>
      </c>
      <c r="N36" s="82">
        <f t="shared" si="8"/>
        <v>41949739.760000005</v>
      </c>
    </row>
    <row r="37" spans="1:14" s="66" customFormat="1" ht="8.1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86"/>
    </row>
    <row r="38" spans="1:14" s="66" customFormat="1" ht="14.1" customHeight="1" thickBot="1" x14ac:dyDescent="0.3">
      <c r="A38" s="87" t="s">
        <v>137</v>
      </c>
      <c r="B38" s="88">
        <f>B27+B36</f>
        <v>423694943.54000002</v>
      </c>
      <c r="C38" s="88">
        <f t="shared" ref="C38:M38" si="9">C27+C36</f>
        <v>374131296.40999997</v>
      </c>
      <c r="D38" s="88">
        <f t="shared" si="9"/>
        <v>392141820.3599999</v>
      </c>
      <c r="E38" s="88">
        <f>E27+E36</f>
        <v>383708992.32999998</v>
      </c>
      <c r="F38" s="88">
        <f t="shared" si="9"/>
        <v>403167309.17000014</v>
      </c>
      <c r="G38" s="88">
        <f t="shared" si="9"/>
        <v>406224643.05000013</v>
      </c>
      <c r="H38" s="88">
        <f>H27+H36</f>
        <v>425452926.59999979</v>
      </c>
      <c r="I38" s="88">
        <f t="shared" si="9"/>
        <v>428281290.75000006</v>
      </c>
      <c r="J38" s="88">
        <f t="shared" si="9"/>
        <v>430414408.77999991</v>
      </c>
      <c r="K38" s="88">
        <f t="shared" si="9"/>
        <v>449895808.85999972</v>
      </c>
      <c r="L38" s="88">
        <f t="shared" si="9"/>
        <v>463031570.66000026</v>
      </c>
      <c r="M38" s="88">
        <f t="shared" si="9"/>
        <v>540363344.72000003</v>
      </c>
      <c r="N38" s="89">
        <f>SUM(B38:M38)</f>
        <v>5120508355.2299995</v>
      </c>
    </row>
    <row r="39" spans="1:14" s="66" customFormat="1" ht="9.9499999999999993" customHeight="1" thickTop="1" thickBot="1" x14ac:dyDescent="0.3">
      <c r="A39" s="125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26"/>
    </row>
    <row r="40" spans="1:14" s="79" customFormat="1" ht="14.1" customHeight="1" thickTop="1" x14ac:dyDescent="0.25">
      <c r="A40" s="92" t="s">
        <v>138</v>
      </c>
      <c r="B40" s="93"/>
      <c r="C40" s="93"/>
      <c r="D40" s="93"/>
      <c r="E40" s="93"/>
      <c r="F40" s="93"/>
      <c r="G40" s="93"/>
      <c r="H40" s="93"/>
      <c r="I40" s="93"/>
      <c r="J40" s="93"/>
      <c r="K40" s="94"/>
      <c r="L40" s="95"/>
      <c r="M40" s="95"/>
      <c r="N40" s="96"/>
    </row>
    <row r="41" spans="1:14" s="79" customFormat="1" ht="14.1" customHeight="1" x14ac:dyDescent="0.25">
      <c r="A41" s="97" t="s">
        <v>139</v>
      </c>
      <c r="B41" s="68">
        <f>SUM(B42:B54)</f>
        <v>13785759.92</v>
      </c>
      <c r="C41" s="68">
        <f t="shared" ref="C41:N41" si="10">SUM(C42:C54)</f>
        <v>13289118.49</v>
      </c>
      <c r="D41" s="68">
        <f t="shared" si="10"/>
        <v>12352781.75</v>
      </c>
      <c r="E41" s="68">
        <f>SUM(E42:E54)</f>
        <v>16200023.149999999</v>
      </c>
      <c r="F41" s="68">
        <f t="shared" si="10"/>
        <v>15056830.909999998</v>
      </c>
      <c r="G41" s="68">
        <f t="shared" si="10"/>
        <v>11244998.77</v>
      </c>
      <c r="H41" s="68">
        <f>SUM(H42:H54)</f>
        <v>17760670.5</v>
      </c>
      <c r="I41" s="68">
        <f t="shared" si="10"/>
        <v>16120209.790000001</v>
      </c>
      <c r="J41" s="68">
        <f t="shared" si="10"/>
        <v>16100931.739999998</v>
      </c>
      <c r="K41" s="68">
        <f t="shared" si="10"/>
        <v>18369217.600000001</v>
      </c>
      <c r="L41" s="68">
        <f t="shared" si="10"/>
        <v>19604899.539999999</v>
      </c>
      <c r="M41" s="68">
        <f>SUM(M42:M54)</f>
        <v>18901501.490000006</v>
      </c>
      <c r="N41" s="86">
        <f t="shared" si="10"/>
        <v>188786943.65000004</v>
      </c>
    </row>
    <row r="42" spans="1:14" s="79" customFormat="1" ht="14.1" customHeight="1" x14ac:dyDescent="0.25">
      <c r="A42" s="72" t="s">
        <v>184</v>
      </c>
      <c r="B42" s="124">
        <v>364404.31</v>
      </c>
      <c r="C42" s="124">
        <v>563381.49</v>
      </c>
      <c r="D42" s="124">
        <f>300963.83-73475.59</f>
        <v>227488.24000000002</v>
      </c>
      <c r="E42" s="124">
        <f>856153.93-145325.12</f>
        <v>710828.81</v>
      </c>
      <c r="F42" s="124">
        <v>716408.54</v>
      </c>
      <c r="G42" s="124">
        <v>412705.23</v>
      </c>
      <c r="H42" s="124">
        <v>610323.23</v>
      </c>
      <c r="I42" s="124">
        <v>466441.44</v>
      </c>
      <c r="J42" s="124">
        <v>377812.65</v>
      </c>
      <c r="K42" s="124">
        <v>519344.44</v>
      </c>
      <c r="L42" s="124">
        <v>533874.49</v>
      </c>
      <c r="M42" s="124">
        <f>503256.82+50</f>
        <v>503306.82</v>
      </c>
      <c r="N42" s="78">
        <f t="shared" ref="N42:N54" si="11">SUM(B42:M42)</f>
        <v>6006319.6900000013</v>
      </c>
    </row>
    <row r="43" spans="1:14" s="79" customFormat="1" ht="14.1" customHeight="1" x14ac:dyDescent="0.25">
      <c r="A43" s="72" t="s">
        <v>185</v>
      </c>
      <c r="B43" s="124">
        <v>15127.23</v>
      </c>
      <c r="C43" s="124">
        <v>24331.27</v>
      </c>
      <c r="D43" s="124">
        <v>10509.54</v>
      </c>
      <c r="E43" s="124">
        <v>18351.93</v>
      </c>
      <c r="F43" s="124">
        <f>14796.28+8510.02</f>
        <v>23306.300000000003</v>
      </c>
      <c r="G43" s="124">
        <v>9977.3700000000008</v>
      </c>
      <c r="H43" s="124">
        <v>17417.52</v>
      </c>
      <c r="I43" s="124">
        <v>23784.45</v>
      </c>
      <c r="J43" s="124">
        <v>8815.9500000000007</v>
      </c>
      <c r="K43" s="124">
        <v>23186.82</v>
      </c>
      <c r="L43" s="124">
        <v>30883.19</v>
      </c>
      <c r="M43" s="124">
        <v>12294.32</v>
      </c>
      <c r="N43" s="78">
        <f t="shared" si="11"/>
        <v>217985.89000000004</v>
      </c>
    </row>
    <row r="44" spans="1:14" s="79" customFormat="1" ht="14.1" customHeight="1" x14ac:dyDescent="0.25">
      <c r="A44" s="72" t="s">
        <v>158</v>
      </c>
      <c r="B44" s="124">
        <v>865581.15</v>
      </c>
      <c r="C44" s="124">
        <v>1591303.37</v>
      </c>
      <c r="D44" s="124">
        <v>1754848.43</v>
      </c>
      <c r="E44" s="124">
        <f>1869867.06-350</f>
        <v>1869517.06</v>
      </c>
      <c r="F44" s="124">
        <v>1698479.24</v>
      </c>
      <c r="G44" s="124">
        <v>1175331.94</v>
      </c>
      <c r="H44" s="124">
        <v>1710182.39</v>
      </c>
      <c r="I44" s="124">
        <f>2583871.02-920</f>
        <v>2582951.02</v>
      </c>
      <c r="J44" s="124">
        <v>1360447.25</v>
      </c>
      <c r="K44" s="124">
        <v>2526601.0499999998</v>
      </c>
      <c r="L44" s="124">
        <v>4060233.19</v>
      </c>
      <c r="M44" s="124">
        <v>1746395.83</v>
      </c>
      <c r="N44" s="78">
        <f t="shared" si="11"/>
        <v>22941871.920000002</v>
      </c>
    </row>
    <row r="45" spans="1:14" s="79" customFormat="1" ht="14.1" customHeight="1" x14ac:dyDescent="0.25">
      <c r="A45" s="72" t="s">
        <v>159</v>
      </c>
      <c r="B45" s="124">
        <v>653075.87</v>
      </c>
      <c r="C45" s="124">
        <v>687354.79</v>
      </c>
      <c r="D45" s="124">
        <v>587714.91</v>
      </c>
      <c r="E45" s="124">
        <v>564750.79</v>
      </c>
      <c r="F45" s="124">
        <v>649450.34</v>
      </c>
      <c r="G45" s="124">
        <v>682149.47</v>
      </c>
      <c r="H45" s="124">
        <v>881004.39</v>
      </c>
      <c r="I45" s="124">
        <v>739803.42</v>
      </c>
      <c r="J45" s="124">
        <v>771271.58</v>
      </c>
      <c r="K45" s="124">
        <v>602499.04</v>
      </c>
      <c r="L45" s="124">
        <v>699251.54</v>
      </c>
      <c r="M45" s="124">
        <v>339636.39</v>
      </c>
      <c r="N45" s="78">
        <f t="shared" si="11"/>
        <v>7857962.5299999993</v>
      </c>
    </row>
    <row r="46" spans="1:14" s="79" customFormat="1" ht="14.1" customHeight="1" x14ac:dyDescent="0.25">
      <c r="A46" s="72" t="s">
        <v>160</v>
      </c>
      <c r="B46" s="124">
        <v>9683427.7100000009</v>
      </c>
      <c r="C46" s="124">
        <v>8324000.9500000002</v>
      </c>
      <c r="D46" s="124">
        <v>7553640.8600000003</v>
      </c>
      <c r="E46" s="124">
        <v>10437939.720000001</v>
      </c>
      <c r="F46" s="124">
        <v>8957467.9100000001</v>
      </c>
      <c r="G46" s="124">
        <v>6650964.5499999998</v>
      </c>
      <c r="H46" s="124">
        <v>11547269.85</v>
      </c>
      <c r="I46" s="124">
        <v>9740580.0800000001</v>
      </c>
      <c r="J46" s="124">
        <v>10785073.460000001</v>
      </c>
      <c r="K46" s="124">
        <v>11809704.699999999</v>
      </c>
      <c r="L46" s="124">
        <v>11782886.1</v>
      </c>
      <c r="M46" s="124">
        <v>13824420.310000001</v>
      </c>
      <c r="N46" s="78">
        <f t="shared" si="11"/>
        <v>121097376.2</v>
      </c>
    </row>
    <row r="47" spans="1:14" s="79" customFormat="1" ht="14.1" customHeight="1" x14ac:dyDescent="0.25">
      <c r="A47" s="72" t="s">
        <v>161</v>
      </c>
      <c r="B47" s="124">
        <v>0</v>
      </c>
      <c r="C47" s="124">
        <v>0</v>
      </c>
      <c r="D47" s="124">
        <v>0</v>
      </c>
      <c r="E47" s="124">
        <v>0</v>
      </c>
      <c r="F47" s="124">
        <f>2433.76</f>
        <v>2433.7600000000002</v>
      </c>
      <c r="G47" s="124">
        <v>0</v>
      </c>
      <c r="H47" s="124">
        <v>0</v>
      </c>
      <c r="I47" s="124">
        <v>0</v>
      </c>
      <c r="J47" s="124">
        <v>2800</v>
      </c>
      <c r="K47" s="124">
        <v>0</v>
      </c>
      <c r="L47" s="124">
        <v>1.77</v>
      </c>
      <c r="M47" s="124">
        <v>2800</v>
      </c>
      <c r="N47" s="78">
        <f t="shared" si="11"/>
        <v>8035.5300000000007</v>
      </c>
    </row>
    <row r="48" spans="1:14" s="79" customFormat="1" ht="14.1" customHeight="1" x14ac:dyDescent="0.25">
      <c r="A48" s="72" t="s">
        <v>186</v>
      </c>
      <c r="B48" s="124">
        <v>23800.720000000001</v>
      </c>
      <c r="C48" s="124">
        <v>44610.080000000002</v>
      </c>
      <c r="D48" s="124">
        <v>26212.93</v>
      </c>
      <c r="E48" s="124">
        <f>21825.18-255</f>
        <v>21570.18</v>
      </c>
      <c r="F48" s="124">
        <v>20951.28</v>
      </c>
      <c r="G48" s="124">
        <v>30185.81</v>
      </c>
      <c r="H48" s="124">
        <v>58127.63</v>
      </c>
      <c r="I48" s="124">
        <v>52887.14</v>
      </c>
      <c r="J48" s="124">
        <v>29572.54</v>
      </c>
      <c r="K48" s="124">
        <v>51180.03</v>
      </c>
      <c r="L48" s="124">
        <v>28940.27</v>
      </c>
      <c r="M48" s="124">
        <v>34353.449999999997</v>
      </c>
      <c r="N48" s="78">
        <f t="shared" si="11"/>
        <v>422392.06</v>
      </c>
    </row>
    <row r="49" spans="1:14" s="79" customFormat="1" ht="14.1" customHeight="1" x14ac:dyDescent="0.25">
      <c r="A49" s="72" t="s">
        <v>187</v>
      </c>
      <c r="B49" s="124">
        <v>40717.32</v>
      </c>
      <c r="C49" s="124">
        <v>133191.85999999999</v>
      </c>
      <c r="D49" s="124">
        <f>95581.57-129.75</f>
        <v>95451.82</v>
      </c>
      <c r="E49" s="124">
        <f>105555-120</f>
        <v>105435</v>
      </c>
      <c r="F49" s="124">
        <v>200810.16</v>
      </c>
      <c r="G49" s="124">
        <v>123568.05</v>
      </c>
      <c r="H49" s="124">
        <v>189128.67</v>
      </c>
      <c r="I49" s="124">
        <v>122225.47</v>
      </c>
      <c r="J49" s="124">
        <v>151451.78</v>
      </c>
      <c r="K49" s="124">
        <v>121036.31</v>
      </c>
      <c r="L49" s="124">
        <v>211018.05</v>
      </c>
      <c r="M49" s="124">
        <v>49181.22</v>
      </c>
      <c r="N49" s="78">
        <f t="shared" si="11"/>
        <v>1543215.7100000002</v>
      </c>
    </row>
    <row r="50" spans="1:14" s="79" customFormat="1" ht="14.1" customHeight="1" x14ac:dyDescent="0.25">
      <c r="A50" s="72" t="s">
        <v>188</v>
      </c>
      <c r="B50" s="124">
        <v>1244742.8799999999</v>
      </c>
      <c r="C50" s="124">
        <v>1074103.18</v>
      </c>
      <c r="D50" s="124">
        <v>1131353.95</v>
      </c>
      <c r="E50" s="124">
        <f>1204157.45-28.1</f>
        <v>1204129.3499999999</v>
      </c>
      <c r="F50" s="124">
        <f>19769.42+1265194.56</f>
        <v>1284963.98</v>
      </c>
      <c r="G50" s="124">
        <v>1120772.3700000001</v>
      </c>
      <c r="H50" s="124">
        <v>1094215.6100000001</v>
      </c>
      <c r="I50" s="124">
        <v>1207491.8700000001</v>
      </c>
      <c r="J50" s="124">
        <v>1224111.58</v>
      </c>
      <c r="K50" s="124">
        <v>1404661.5</v>
      </c>
      <c r="L50" s="124">
        <v>1350415.16</v>
      </c>
      <c r="M50" s="124">
        <v>1195416</v>
      </c>
      <c r="N50" s="78">
        <f t="shared" si="11"/>
        <v>14536377.430000002</v>
      </c>
    </row>
    <row r="51" spans="1:14" s="79" customFormat="1" ht="14.1" customHeight="1" x14ac:dyDescent="0.25">
      <c r="A51" s="72" t="s">
        <v>189</v>
      </c>
      <c r="B51" s="124">
        <v>7528.37</v>
      </c>
      <c r="C51" s="124">
        <v>9139.35</v>
      </c>
      <c r="D51" s="124">
        <v>7127</v>
      </c>
      <c r="E51" s="124">
        <v>10208</v>
      </c>
      <c r="F51" s="124">
        <v>34031.68</v>
      </c>
      <c r="G51" s="124">
        <v>9724.42</v>
      </c>
      <c r="H51" s="124">
        <v>4945.3500000000004</v>
      </c>
      <c r="I51" s="124">
        <v>30</v>
      </c>
      <c r="J51" s="124">
        <v>981</v>
      </c>
      <c r="K51" s="124">
        <v>3528.4</v>
      </c>
      <c r="L51" s="124">
        <v>27571</v>
      </c>
      <c r="M51" s="124">
        <v>2804</v>
      </c>
      <c r="N51" s="78">
        <f t="shared" si="11"/>
        <v>117618.56999999999</v>
      </c>
    </row>
    <row r="52" spans="1:14" s="79" customFormat="1" ht="14.1" customHeight="1" x14ac:dyDescent="0.25">
      <c r="A52" s="72" t="s">
        <v>190</v>
      </c>
      <c r="B52" s="124">
        <v>193022.54</v>
      </c>
      <c r="C52" s="124">
        <v>185079.21</v>
      </c>
      <c r="D52" s="124">
        <v>179940.76</v>
      </c>
      <c r="E52" s="124">
        <f>302583.45-186</f>
        <v>302397.45</v>
      </c>
      <c r="F52" s="124">
        <v>321939.44</v>
      </c>
      <c r="G52" s="124">
        <v>217999.41</v>
      </c>
      <c r="H52" s="124">
        <v>297899.17</v>
      </c>
      <c r="I52" s="124">
        <v>290186.90000000002</v>
      </c>
      <c r="J52" s="124">
        <f>221347.82-38</f>
        <v>221309.82</v>
      </c>
      <c r="K52" s="124">
        <v>164565.12</v>
      </c>
      <c r="L52" s="124">
        <v>151713.89000000001</v>
      </c>
      <c r="M52" s="124">
        <v>174452.03</v>
      </c>
      <c r="N52" s="78">
        <f t="shared" si="11"/>
        <v>2700505.7399999998</v>
      </c>
    </row>
    <row r="53" spans="1:14" s="79" customFormat="1" ht="14.1" customHeight="1" x14ac:dyDescent="0.25">
      <c r="A53" s="72" t="s">
        <v>162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24">
        <v>0</v>
      </c>
      <c r="J53" s="124">
        <v>0</v>
      </c>
      <c r="K53" s="124">
        <v>0</v>
      </c>
      <c r="L53" s="124">
        <v>0</v>
      </c>
      <c r="M53" s="124">
        <v>0</v>
      </c>
      <c r="N53" s="78">
        <f t="shared" si="11"/>
        <v>0</v>
      </c>
    </row>
    <row r="54" spans="1:14" s="79" customFormat="1" ht="14.1" customHeight="1" x14ac:dyDescent="0.25">
      <c r="A54" s="72" t="s">
        <v>163</v>
      </c>
      <c r="B54" s="124">
        <v>694331.82</v>
      </c>
      <c r="C54" s="124">
        <v>652622.93999999994</v>
      </c>
      <c r="D54" s="124">
        <f>778553.81-60.5</f>
        <v>778493.31</v>
      </c>
      <c r="E54" s="124">
        <f>955010.86-116</f>
        <v>954894.86</v>
      </c>
      <c r="F54" s="124">
        <f>1108973.23+37615.05</f>
        <v>1146588.28</v>
      </c>
      <c r="G54" s="124">
        <v>811620.15</v>
      </c>
      <c r="H54" s="124">
        <v>1350156.69</v>
      </c>
      <c r="I54" s="124">
        <v>893828</v>
      </c>
      <c r="J54" s="124">
        <v>1167284.1299999999</v>
      </c>
      <c r="K54" s="124">
        <v>1142910.19</v>
      </c>
      <c r="L54" s="124">
        <v>728110.89</v>
      </c>
      <c r="M54" s="124">
        <v>1016441.12</v>
      </c>
      <c r="N54" s="78">
        <f t="shared" si="11"/>
        <v>11337282.379999999</v>
      </c>
    </row>
    <row r="55" spans="1:14" s="79" customFormat="1" ht="8.1" customHeight="1" x14ac:dyDescent="0.25">
      <c r="A55" s="72"/>
      <c r="B55" s="73"/>
      <c r="C55" s="73"/>
      <c r="D55" s="73"/>
      <c r="E55" s="73"/>
      <c r="F55" s="73"/>
      <c r="G55" s="73"/>
      <c r="H55" s="73"/>
      <c r="I55" s="73"/>
      <c r="J55" s="98"/>
      <c r="K55" s="73"/>
      <c r="L55" s="73"/>
      <c r="M55" s="73"/>
      <c r="N55" s="78"/>
    </row>
    <row r="56" spans="1:14" s="79" customFormat="1" ht="14.1" customHeight="1" x14ac:dyDescent="0.25">
      <c r="A56" s="67" t="s">
        <v>140</v>
      </c>
      <c r="B56" s="68">
        <f t="shared" ref="B56:N56" si="12">SUM(B57:B71)</f>
        <v>65884986.310000002</v>
      </c>
      <c r="C56" s="68">
        <f t="shared" si="12"/>
        <v>69637387.789999992</v>
      </c>
      <c r="D56" s="68">
        <f t="shared" si="12"/>
        <v>62659042.300000004</v>
      </c>
      <c r="E56" s="68">
        <f t="shared" si="12"/>
        <v>65587782.130000003</v>
      </c>
      <c r="F56" s="68">
        <f t="shared" si="12"/>
        <v>66063352.539999999</v>
      </c>
      <c r="G56" s="68">
        <f t="shared" si="12"/>
        <v>69787768.010000005</v>
      </c>
      <c r="H56" s="68">
        <f t="shared" si="12"/>
        <v>67848744.929999992</v>
      </c>
      <c r="I56" s="68">
        <f t="shared" si="12"/>
        <v>75885924.329999998</v>
      </c>
      <c r="J56" s="68">
        <f t="shared" si="12"/>
        <v>73937629.569999993</v>
      </c>
      <c r="K56" s="68">
        <f t="shared" si="12"/>
        <v>73987190.219999999</v>
      </c>
      <c r="L56" s="68">
        <f t="shared" si="12"/>
        <v>74082963.859999999</v>
      </c>
      <c r="M56" s="68">
        <f t="shared" si="12"/>
        <v>80914565.049999982</v>
      </c>
      <c r="N56" s="86">
        <f t="shared" si="12"/>
        <v>846274392.30000007</v>
      </c>
    </row>
    <row r="57" spans="1:14" s="79" customFormat="1" ht="14.1" customHeight="1" x14ac:dyDescent="0.25">
      <c r="A57" s="72" t="s">
        <v>164</v>
      </c>
      <c r="B57" s="124">
        <v>3009837.11</v>
      </c>
      <c r="C57" s="124">
        <v>2691648.28</v>
      </c>
      <c r="D57" s="124">
        <f>2608915.59-59732.01</f>
        <v>2549183.58</v>
      </c>
      <c r="E57" s="124">
        <f>3152542.75-145265.12</f>
        <v>3007277.63</v>
      </c>
      <c r="F57" s="124">
        <v>3011468.47</v>
      </c>
      <c r="G57" s="124">
        <v>2431029.67</v>
      </c>
      <c r="H57" s="124">
        <v>3899307.11</v>
      </c>
      <c r="I57" s="124">
        <v>3055289.93</v>
      </c>
      <c r="J57" s="124">
        <v>3386106.32</v>
      </c>
      <c r="K57" s="124">
        <v>3936300.57</v>
      </c>
      <c r="L57" s="124">
        <v>4119052.1</v>
      </c>
      <c r="M57" s="124">
        <v>4818363.42</v>
      </c>
      <c r="N57" s="78">
        <f>SUM(B57:M57)</f>
        <v>39914864.190000005</v>
      </c>
    </row>
    <row r="58" spans="1:14" s="79" customFormat="1" ht="14.1" customHeight="1" x14ac:dyDescent="0.25">
      <c r="A58" s="72" t="s">
        <v>195</v>
      </c>
      <c r="B58" s="124">
        <v>765795.18</v>
      </c>
      <c r="C58" s="124">
        <v>786242.32</v>
      </c>
      <c r="D58" s="124">
        <v>782173.24</v>
      </c>
      <c r="E58" s="124">
        <v>807030.28</v>
      </c>
      <c r="F58" s="124">
        <v>786971.91</v>
      </c>
      <c r="G58" s="124">
        <v>765976.86</v>
      </c>
      <c r="H58" s="124">
        <v>773647.66</v>
      </c>
      <c r="I58" s="124">
        <v>780364.02</v>
      </c>
      <c r="J58" s="124">
        <v>784985.08</v>
      </c>
      <c r="K58" s="124">
        <v>710152.47</v>
      </c>
      <c r="L58" s="124">
        <v>554264.66</v>
      </c>
      <c r="M58" s="124">
        <v>509340.32</v>
      </c>
      <c r="N58" s="78">
        <f t="shared" ref="N58:N68" si="13">SUM(B58:M58)</f>
        <v>8806944</v>
      </c>
    </row>
    <row r="59" spans="1:14" s="79" customFormat="1" ht="14.1" customHeight="1" x14ac:dyDescent="0.25">
      <c r="A59" s="72" t="s">
        <v>165</v>
      </c>
      <c r="B59" s="124">
        <v>39792020.850000001</v>
      </c>
      <c r="C59" s="124">
        <v>39648921.439999998</v>
      </c>
      <c r="D59" s="124">
        <v>35049153.649999999</v>
      </c>
      <c r="E59" s="124">
        <v>37207143.350000001</v>
      </c>
      <c r="F59" s="124">
        <v>38182912.43</v>
      </c>
      <c r="G59" s="124">
        <v>37506550.009999998</v>
      </c>
      <c r="H59" s="124">
        <v>37365470.299999997</v>
      </c>
      <c r="I59" s="124">
        <v>43450862.840000004</v>
      </c>
      <c r="J59" s="124">
        <f>42090889.68-38820.62</f>
        <v>42052069.060000002</v>
      </c>
      <c r="K59" s="124">
        <f>40142890.33-36477.73</f>
        <v>40106412.600000001</v>
      </c>
      <c r="L59" s="124">
        <v>41988677.890000001</v>
      </c>
      <c r="M59" s="124">
        <v>42105223.939999998</v>
      </c>
      <c r="N59" s="78">
        <f>SUM(B59:M59)</f>
        <v>474455418.36000001</v>
      </c>
    </row>
    <row r="60" spans="1:14" s="79" customFormat="1" ht="14.1" customHeight="1" x14ac:dyDescent="0.25">
      <c r="A60" s="72" t="s">
        <v>194</v>
      </c>
      <c r="B60" s="124">
        <v>727617.43</v>
      </c>
      <c r="C60" s="124">
        <v>834300.61</v>
      </c>
      <c r="D60" s="124">
        <v>375791.43</v>
      </c>
      <c r="E60" s="124">
        <v>448648.67</v>
      </c>
      <c r="F60" s="124">
        <v>360561.73</v>
      </c>
      <c r="G60" s="124">
        <v>265436.17</v>
      </c>
      <c r="H60" s="124">
        <v>390487.14</v>
      </c>
      <c r="I60" s="124">
        <v>290348.94</v>
      </c>
      <c r="J60" s="124">
        <v>358116.33</v>
      </c>
      <c r="K60" s="124">
        <v>512280.85</v>
      </c>
      <c r="L60" s="124">
        <v>732300.15</v>
      </c>
      <c r="M60" s="124">
        <v>925746.44</v>
      </c>
      <c r="N60" s="78">
        <f t="shared" si="13"/>
        <v>6221635.8900000006</v>
      </c>
    </row>
    <row r="61" spans="1:14" s="79" customFormat="1" ht="14.1" customHeight="1" x14ac:dyDescent="0.25">
      <c r="A61" s="72" t="s">
        <v>166</v>
      </c>
      <c r="B61" s="124">
        <v>98320.46</v>
      </c>
      <c r="C61" s="124">
        <v>23329.88</v>
      </c>
      <c r="D61" s="124">
        <v>32031.74</v>
      </c>
      <c r="E61" s="124">
        <v>66012.69</v>
      </c>
      <c r="F61" s="124">
        <v>302227</v>
      </c>
      <c r="G61" s="124">
        <v>110894.26</v>
      </c>
      <c r="H61" s="124">
        <v>71378.720000000001</v>
      </c>
      <c r="I61" s="124">
        <v>147297.76999999999</v>
      </c>
      <c r="J61" s="124">
        <v>103383.87</v>
      </c>
      <c r="K61" s="124">
        <v>241247.78</v>
      </c>
      <c r="L61" s="124">
        <v>37323.56</v>
      </c>
      <c r="M61" s="124">
        <v>136866.78</v>
      </c>
      <c r="N61" s="78">
        <f>SUM(B61:M61)</f>
        <v>1370314.51</v>
      </c>
    </row>
    <row r="62" spans="1:14" s="79" customFormat="1" ht="14.1" customHeight="1" x14ac:dyDescent="0.25">
      <c r="A62" s="72" t="s">
        <v>196</v>
      </c>
      <c r="B62" s="124">
        <v>58668.32</v>
      </c>
      <c r="C62" s="124">
        <v>73164.259999999995</v>
      </c>
      <c r="D62" s="124">
        <v>61314.11</v>
      </c>
      <c r="E62" s="124">
        <v>136634.31</v>
      </c>
      <c r="F62" s="124">
        <v>36988.36</v>
      </c>
      <c r="G62" s="124">
        <v>174831.43</v>
      </c>
      <c r="H62" s="124">
        <v>47403.19</v>
      </c>
      <c r="I62" s="124">
        <v>107839.62</v>
      </c>
      <c r="J62" s="124">
        <v>34726.19</v>
      </c>
      <c r="K62" s="124">
        <v>81805.179999999993</v>
      </c>
      <c r="L62" s="124">
        <v>36311.29</v>
      </c>
      <c r="M62" s="124">
        <v>100175.35</v>
      </c>
      <c r="N62" s="78">
        <f t="shared" si="13"/>
        <v>949861.61</v>
      </c>
    </row>
    <row r="63" spans="1:14" s="79" customFormat="1" ht="14.1" customHeight="1" x14ac:dyDescent="0.25">
      <c r="A63" s="72" t="s">
        <v>148</v>
      </c>
      <c r="B63" s="73">
        <v>0</v>
      </c>
      <c r="C63" s="73">
        <v>0</v>
      </c>
      <c r="D63" s="73">
        <v>0</v>
      </c>
      <c r="E63" s="124">
        <v>0</v>
      </c>
      <c r="F63" s="124">
        <v>0</v>
      </c>
      <c r="G63" s="124">
        <v>100</v>
      </c>
      <c r="H63" s="124">
        <v>0</v>
      </c>
      <c r="I63" s="124">
        <v>0</v>
      </c>
      <c r="J63" s="124">
        <v>0</v>
      </c>
      <c r="K63" s="124">
        <v>0</v>
      </c>
      <c r="L63" s="124">
        <v>2844.74</v>
      </c>
      <c r="M63" s="124">
        <v>0</v>
      </c>
      <c r="N63" s="124">
        <v>0</v>
      </c>
    </row>
    <row r="64" spans="1:14" s="79" customFormat="1" ht="14.1" customHeight="1" x14ac:dyDescent="0.25">
      <c r="A64" s="72" t="s">
        <v>167</v>
      </c>
      <c r="B64" s="124">
        <v>673125.82</v>
      </c>
      <c r="C64" s="124">
        <v>714831.99</v>
      </c>
      <c r="D64" s="124">
        <v>792869.93</v>
      </c>
      <c r="E64" s="124">
        <v>1039380.13</v>
      </c>
      <c r="F64" s="124">
        <v>923129.36</v>
      </c>
      <c r="G64" s="124">
        <v>767004.81</v>
      </c>
      <c r="H64" s="124">
        <v>1069359.1200000001</v>
      </c>
      <c r="I64" s="124">
        <v>942470.26</v>
      </c>
      <c r="J64" s="124">
        <v>934844.22</v>
      </c>
      <c r="K64" s="124">
        <v>1147826.26</v>
      </c>
      <c r="L64" s="124">
        <v>952360.69</v>
      </c>
      <c r="M64" s="124">
        <v>1379635.78</v>
      </c>
      <c r="N64" s="78">
        <f>SUM(B64:M64)</f>
        <v>11336838.369999999</v>
      </c>
    </row>
    <row r="65" spans="1:14" s="79" customFormat="1" ht="14.1" customHeight="1" x14ac:dyDescent="0.25">
      <c r="A65" s="72" t="s">
        <v>197</v>
      </c>
      <c r="B65" s="124">
        <v>83746.8</v>
      </c>
      <c r="C65" s="124">
        <v>89121.99</v>
      </c>
      <c r="D65" s="124">
        <f>116220.13+9668.58</f>
        <v>125888.71</v>
      </c>
      <c r="E65" s="124">
        <v>106885.78</v>
      </c>
      <c r="F65" s="124">
        <v>115637.04</v>
      </c>
      <c r="G65" s="124">
        <v>84223.61</v>
      </c>
      <c r="H65" s="124">
        <v>113684.53</v>
      </c>
      <c r="I65" s="124">
        <v>91037.04</v>
      </c>
      <c r="J65" s="124">
        <v>126585.12</v>
      </c>
      <c r="K65" s="124">
        <v>95771.77</v>
      </c>
      <c r="L65" s="124">
        <v>141899.70000000001</v>
      </c>
      <c r="M65" s="124">
        <v>58359.75</v>
      </c>
      <c r="N65" s="78">
        <f>SUM(B65:M65)</f>
        <v>1232841.8400000001</v>
      </c>
    </row>
    <row r="66" spans="1:14" s="79" customFormat="1" ht="13.5" customHeight="1" x14ac:dyDescent="0.25">
      <c r="A66" s="72" t="s">
        <v>168</v>
      </c>
      <c r="B66" s="124">
        <v>0</v>
      </c>
      <c r="C66" s="124">
        <v>0</v>
      </c>
      <c r="D66" s="124">
        <v>100</v>
      </c>
      <c r="E66" s="124">
        <v>0</v>
      </c>
      <c r="F66" s="124">
        <v>0</v>
      </c>
      <c r="G66" s="124">
        <v>12044</v>
      </c>
      <c r="H66" s="124">
        <v>0</v>
      </c>
      <c r="I66" s="124">
        <v>0</v>
      </c>
      <c r="J66" s="124">
        <v>0</v>
      </c>
      <c r="K66" s="124">
        <v>0</v>
      </c>
      <c r="L66" s="124">
        <v>44854</v>
      </c>
      <c r="M66" s="124">
        <v>0</v>
      </c>
      <c r="N66" s="78">
        <f>SUM(B66:M66)</f>
        <v>56998</v>
      </c>
    </row>
    <row r="67" spans="1:14" s="79" customFormat="1" ht="14.1" customHeight="1" x14ac:dyDescent="0.25">
      <c r="A67" s="72" t="s">
        <v>169</v>
      </c>
      <c r="B67" s="124">
        <v>14539248</v>
      </c>
      <c r="C67" s="124">
        <v>16001278.99</v>
      </c>
      <c r="D67" s="124">
        <v>16874020.829999998</v>
      </c>
      <c r="E67" s="124">
        <v>15661493.939999999</v>
      </c>
      <c r="F67" s="124">
        <v>15229866.539999999</v>
      </c>
      <c r="G67" s="124">
        <v>20380471.239999998</v>
      </c>
      <c r="H67" s="124">
        <v>16392581.310000001</v>
      </c>
      <c r="I67" s="124">
        <v>18287384.640000001</v>
      </c>
      <c r="J67" s="124">
        <v>17077396.050000001</v>
      </c>
      <c r="K67" s="124">
        <v>17570198.440000001</v>
      </c>
      <c r="L67" s="124">
        <v>15840572.4</v>
      </c>
      <c r="M67" s="124">
        <v>20480023.329999998</v>
      </c>
      <c r="N67" s="78">
        <f t="shared" si="13"/>
        <v>204334535.70999998</v>
      </c>
    </row>
    <row r="68" spans="1:14" s="79" customFormat="1" ht="14.1" customHeight="1" x14ac:dyDescent="0.25">
      <c r="A68" s="72" t="s">
        <v>170</v>
      </c>
      <c r="B68" s="124">
        <v>1019186.57</v>
      </c>
      <c r="C68" s="124">
        <v>1632181.76</v>
      </c>
      <c r="D68" s="124">
        <v>1386835.89</v>
      </c>
      <c r="E68" s="124">
        <v>936541.87</v>
      </c>
      <c r="F68" s="124">
        <v>1299333.75</v>
      </c>
      <c r="G68" s="124">
        <v>1130082.58</v>
      </c>
      <c r="H68" s="124">
        <v>1033296.75</v>
      </c>
      <c r="I68" s="124">
        <v>1149529.98</v>
      </c>
      <c r="J68" s="124">
        <v>1108070.1000000001</v>
      </c>
      <c r="K68" s="124">
        <v>1430537.76</v>
      </c>
      <c r="L68" s="124">
        <v>1471351.15</v>
      </c>
      <c r="M68" s="124">
        <v>1444462.99</v>
      </c>
      <c r="N68" s="78">
        <f t="shared" si="13"/>
        <v>15041411.15</v>
      </c>
    </row>
    <row r="69" spans="1:14" s="79" customFormat="1" ht="14.1" customHeight="1" x14ac:dyDescent="0.25">
      <c r="A69" s="72" t="s">
        <v>171</v>
      </c>
      <c r="B69" s="124">
        <v>4684272.8899999997</v>
      </c>
      <c r="C69" s="124">
        <v>6498423.7000000002</v>
      </c>
      <c r="D69" s="124">
        <v>4281803.09</v>
      </c>
      <c r="E69" s="124">
        <v>5934827.2999999998</v>
      </c>
      <c r="F69" s="124">
        <v>5595849.1799999997</v>
      </c>
      <c r="G69" s="124">
        <v>5980285.75</v>
      </c>
      <c r="H69" s="124">
        <v>6419084.2199999997</v>
      </c>
      <c r="I69" s="124">
        <v>7204273.4400000004</v>
      </c>
      <c r="J69" s="124">
        <v>7832542.7599999998</v>
      </c>
      <c r="K69" s="124">
        <v>7672083.8399999999</v>
      </c>
      <c r="L69" s="124">
        <v>7922874.3499999996</v>
      </c>
      <c r="M69" s="124">
        <v>8576108.2899999991</v>
      </c>
      <c r="N69" s="78">
        <f>SUM(B69:M69)</f>
        <v>78602428.810000002</v>
      </c>
    </row>
    <row r="70" spans="1:14" s="79" customFormat="1" ht="14.1" customHeight="1" x14ac:dyDescent="0.25">
      <c r="A70" s="72" t="s">
        <v>172</v>
      </c>
      <c r="B70" s="124">
        <v>361752.13</v>
      </c>
      <c r="C70" s="124">
        <v>560410.56999999995</v>
      </c>
      <c r="D70" s="124">
        <v>301451.09999999998</v>
      </c>
      <c r="E70" s="124">
        <v>174022.18</v>
      </c>
      <c r="F70" s="124">
        <v>159200.26999999999</v>
      </c>
      <c r="G70" s="124">
        <v>114520.62</v>
      </c>
      <c r="H70" s="124">
        <v>234500.88</v>
      </c>
      <c r="I70" s="124">
        <v>346185.35</v>
      </c>
      <c r="J70" s="124">
        <v>109382.72</v>
      </c>
      <c r="K70" s="124">
        <v>439549.7</v>
      </c>
      <c r="L70" s="124">
        <v>187544.18</v>
      </c>
      <c r="M70" s="124">
        <v>323769.40999999997</v>
      </c>
      <c r="N70" s="78">
        <f>SUM(B70:M70)</f>
        <v>3312289.1100000003</v>
      </c>
    </row>
    <row r="71" spans="1:14" s="79" customFormat="1" ht="14.1" customHeight="1" x14ac:dyDescent="0.25">
      <c r="A71" s="72" t="s">
        <v>198</v>
      </c>
      <c r="B71" s="127">
        <v>71394.75</v>
      </c>
      <c r="C71" s="124">
        <v>83532</v>
      </c>
      <c r="D71" s="124">
        <v>46425</v>
      </c>
      <c r="E71" s="124">
        <v>61884</v>
      </c>
      <c r="F71" s="124">
        <v>59206.5</v>
      </c>
      <c r="G71" s="124">
        <v>64317</v>
      </c>
      <c r="H71" s="124">
        <v>38544</v>
      </c>
      <c r="I71" s="124">
        <v>33040.5</v>
      </c>
      <c r="J71" s="124">
        <v>29421.75</v>
      </c>
      <c r="K71" s="124">
        <v>43023</v>
      </c>
      <c r="L71" s="124">
        <v>50733</v>
      </c>
      <c r="M71" s="124">
        <v>56489.25</v>
      </c>
      <c r="N71" s="78">
        <f>SUM(B71:M71)</f>
        <v>638010.75</v>
      </c>
    </row>
    <row r="72" spans="1:14" s="79" customFormat="1" ht="8.1" customHeight="1" x14ac:dyDescent="0.25">
      <c r="A72" s="99"/>
      <c r="B72" s="73"/>
      <c r="C72" s="73"/>
      <c r="D72" s="73"/>
      <c r="E72" s="73"/>
      <c r="F72" s="73"/>
      <c r="G72" s="73"/>
      <c r="H72" s="73"/>
      <c r="I72" s="73"/>
      <c r="J72" s="98"/>
      <c r="K72" s="73"/>
      <c r="L72" s="73"/>
      <c r="M72" s="73"/>
      <c r="N72" s="78"/>
    </row>
    <row r="73" spans="1:14" s="79" customFormat="1" ht="14.1" customHeight="1" x14ac:dyDescent="0.25">
      <c r="A73" s="135" t="s">
        <v>149</v>
      </c>
      <c r="B73" s="68">
        <f t="shared" ref="B73:M73" si="14">B74+B75</f>
        <v>3223063.46</v>
      </c>
      <c r="C73" s="68">
        <f t="shared" si="14"/>
        <v>3821232.61</v>
      </c>
      <c r="D73" s="68">
        <f t="shared" si="14"/>
        <v>3687672.2199999997</v>
      </c>
      <c r="E73" s="68">
        <f>E74+E75</f>
        <v>3751207.3899999997</v>
      </c>
      <c r="F73" s="68">
        <f t="shared" si="14"/>
        <v>3703543.69</v>
      </c>
      <c r="G73" s="68">
        <f>G74+G75</f>
        <v>3699733.77</v>
      </c>
      <c r="H73" s="68">
        <f t="shared" si="14"/>
        <v>3686918.82</v>
      </c>
      <c r="I73" s="68">
        <f t="shared" si="14"/>
        <v>3667597.99</v>
      </c>
      <c r="J73" s="68">
        <f t="shared" si="14"/>
        <v>3645847.67</v>
      </c>
      <c r="K73" s="68">
        <f t="shared" si="14"/>
        <v>3622834.8899999997</v>
      </c>
      <c r="L73" s="68">
        <f t="shared" si="14"/>
        <v>3659032.4299999997</v>
      </c>
      <c r="M73" s="68">
        <f t="shared" si="14"/>
        <v>4062745.02</v>
      </c>
      <c r="N73" s="80">
        <f>N74+N75</f>
        <v>44231429.960000008</v>
      </c>
    </row>
    <row r="74" spans="1:14" s="79" customFormat="1" ht="14.1" customHeight="1" x14ac:dyDescent="0.25">
      <c r="A74" s="72" t="s">
        <v>145</v>
      </c>
      <c r="B74" s="127">
        <v>2870685.44</v>
      </c>
      <c r="C74" s="127">
        <v>2870685.44</v>
      </c>
      <c r="D74" s="127">
        <v>2870685.44</v>
      </c>
      <c r="E74" s="124">
        <v>2870685.44</v>
      </c>
      <c r="F74" s="123">
        <v>2870685.44</v>
      </c>
      <c r="G74" s="123">
        <v>2870685.44</v>
      </c>
      <c r="H74" s="127">
        <v>2870685.44</v>
      </c>
      <c r="I74" s="127">
        <v>2870685.44</v>
      </c>
      <c r="J74" s="127">
        <v>2870685.44</v>
      </c>
      <c r="K74" s="127">
        <v>2870685.44</v>
      </c>
      <c r="L74" s="127">
        <v>2870685.44</v>
      </c>
      <c r="M74" s="73">
        <v>3305962.68</v>
      </c>
      <c r="N74" s="78">
        <f>SUM(B74:M74)</f>
        <v>34883502.520000011</v>
      </c>
    </row>
    <row r="75" spans="1:14" s="79" customFormat="1" ht="14.1" customHeight="1" x14ac:dyDescent="0.25">
      <c r="A75" s="100" t="s">
        <v>150</v>
      </c>
      <c r="B75" s="127">
        <v>352378.02</v>
      </c>
      <c r="C75" s="127">
        <v>950547.17</v>
      </c>
      <c r="D75" s="127">
        <v>816986.78</v>
      </c>
      <c r="E75" s="124">
        <v>880521.95</v>
      </c>
      <c r="F75" s="123">
        <v>832858.25</v>
      </c>
      <c r="G75" s="123">
        <v>829048.33</v>
      </c>
      <c r="H75" s="127">
        <v>816233.38</v>
      </c>
      <c r="I75" s="127">
        <v>796912.55</v>
      </c>
      <c r="J75" s="127">
        <v>775162.23</v>
      </c>
      <c r="K75" s="127">
        <v>752149.45</v>
      </c>
      <c r="L75" s="127">
        <v>788346.99</v>
      </c>
      <c r="M75" s="73">
        <v>756782.34</v>
      </c>
      <c r="N75" s="78">
        <f>SUM(B75:M75)</f>
        <v>9347927.4399999995</v>
      </c>
    </row>
    <row r="76" spans="1:14" s="79" customFormat="1" ht="8.1" customHeight="1" x14ac:dyDescent="0.25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2"/>
    </row>
    <row r="77" spans="1:14" s="79" customFormat="1" ht="14.1" customHeight="1" x14ac:dyDescent="0.25">
      <c r="A77" s="97" t="s">
        <v>141</v>
      </c>
      <c r="B77" s="68">
        <f>SUM(B78:B81)</f>
        <v>14447003.199999999</v>
      </c>
      <c r="C77" s="68">
        <f t="shared" ref="C77:M77" si="15">SUM(C78:C81)</f>
        <v>14485044.52</v>
      </c>
      <c r="D77" s="68">
        <f t="shared" si="15"/>
        <v>14601428.360000001</v>
      </c>
      <c r="E77" s="68">
        <f>SUM(E78:E81)</f>
        <v>14689934.589999998</v>
      </c>
      <c r="F77" s="68">
        <f t="shared" si="15"/>
        <v>14759020.779999999</v>
      </c>
      <c r="G77" s="68">
        <f>SUM(G78:G81)</f>
        <v>14822433.359999999</v>
      </c>
      <c r="H77" s="68">
        <f t="shared" si="15"/>
        <v>14888667.48</v>
      </c>
      <c r="I77" s="68">
        <f t="shared" si="15"/>
        <v>15013517.810000001</v>
      </c>
      <c r="J77" s="68">
        <f t="shared" si="15"/>
        <v>15084789</v>
      </c>
      <c r="K77" s="68">
        <f t="shared" si="15"/>
        <v>15352777.369999999</v>
      </c>
      <c r="L77" s="68">
        <f t="shared" si="15"/>
        <v>15477602.170000002</v>
      </c>
      <c r="M77" s="68">
        <f t="shared" si="15"/>
        <v>15637003.409999998</v>
      </c>
      <c r="N77" s="86">
        <f>SUM(N78:N81)</f>
        <v>179259222.05000001</v>
      </c>
    </row>
    <row r="78" spans="1:14" s="79" customFormat="1" ht="14.1" customHeight="1" x14ac:dyDescent="0.25">
      <c r="A78" s="99" t="s">
        <v>174</v>
      </c>
      <c r="B78" s="124">
        <v>14748357.609999999</v>
      </c>
      <c r="C78" s="127">
        <v>14790771.07</v>
      </c>
      <c r="D78" s="124">
        <v>14909063.050000001</v>
      </c>
      <c r="E78" s="124">
        <v>14994679.5</v>
      </c>
      <c r="F78" s="123">
        <v>15062899.51</v>
      </c>
      <c r="G78" s="123">
        <v>15127977.35</v>
      </c>
      <c r="H78" s="124">
        <v>15197917.220000001</v>
      </c>
      <c r="I78" s="124">
        <v>15320123.15</v>
      </c>
      <c r="J78" s="124">
        <v>15391398.82</v>
      </c>
      <c r="K78" s="124">
        <v>15615454.1</v>
      </c>
      <c r="L78" s="124">
        <v>15728849.550000001</v>
      </c>
      <c r="M78" s="124">
        <v>15855371.619999999</v>
      </c>
      <c r="N78" s="78">
        <f>SUM(B78:M78)</f>
        <v>182742862.55000001</v>
      </c>
    </row>
    <row r="79" spans="1:14" s="79" customFormat="1" ht="14.1" customHeight="1" x14ac:dyDescent="0.25">
      <c r="A79" s="99" t="s">
        <v>173</v>
      </c>
      <c r="B79" s="124">
        <v>850674.67</v>
      </c>
      <c r="C79" s="127">
        <v>898520.32</v>
      </c>
      <c r="D79" s="124">
        <v>915696.47</v>
      </c>
      <c r="E79" s="124">
        <v>909645.77</v>
      </c>
      <c r="F79" s="123">
        <v>908626.58</v>
      </c>
      <c r="G79" s="123">
        <v>906881.78</v>
      </c>
      <c r="H79" s="124">
        <v>925768.82</v>
      </c>
      <c r="I79" s="124">
        <v>926354.23</v>
      </c>
      <c r="J79" s="124">
        <v>936633.81</v>
      </c>
      <c r="K79" s="124">
        <v>956670.99</v>
      </c>
      <c r="L79" s="124">
        <v>970883.64</v>
      </c>
      <c r="M79" s="124">
        <v>788214.85</v>
      </c>
      <c r="N79" s="78">
        <f>SUM(B79:M79)</f>
        <v>10894571.930000002</v>
      </c>
    </row>
    <row r="80" spans="1:14" s="79" customFormat="1" ht="14.1" customHeight="1" x14ac:dyDescent="0.25">
      <c r="A80" s="100" t="s">
        <v>142</v>
      </c>
      <c r="B80" s="70">
        <v>-353570.38</v>
      </c>
      <c r="C80" s="70">
        <v>-353570.38</v>
      </c>
      <c r="D80" s="70">
        <v>-353570.38</v>
      </c>
      <c r="E80" s="70">
        <v>-353570.38</v>
      </c>
      <c r="F80" s="70">
        <v>-353570.38</v>
      </c>
      <c r="G80" s="70">
        <v>-353553.32</v>
      </c>
      <c r="H80" s="70">
        <v>-353553.32</v>
      </c>
      <c r="I80" s="70">
        <v>-353553.32</v>
      </c>
      <c r="J80" s="70">
        <v>-353553.32</v>
      </c>
      <c r="K80" s="70">
        <v>-353351.25</v>
      </c>
      <c r="L80" s="70">
        <v>-353351.25</v>
      </c>
      <c r="M80" s="70">
        <v>-353351.25</v>
      </c>
      <c r="N80" s="85">
        <f>SUM(B80:M80)</f>
        <v>-4242118.93</v>
      </c>
    </row>
    <row r="81" spans="1:14" s="79" customFormat="1" ht="14.1" customHeight="1" x14ac:dyDescent="0.25">
      <c r="A81" s="100" t="s">
        <v>151</v>
      </c>
      <c r="B81" s="70">
        <f>-48286.87-750171.83</f>
        <v>-798458.7</v>
      </c>
      <c r="C81" s="70">
        <v>-850676.49</v>
      </c>
      <c r="D81" s="70">
        <v>-869760.78</v>
      </c>
      <c r="E81" s="70">
        <v>-860820.3</v>
      </c>
      <c r="F81" s="70">
        <v>-858934.93</v>
      </c>
      <c r="G81" s="70">
        <v>-858872.45</v>
      </c>
      <c r="H81" s="70">
        <v>-881465.24</v>
      </c>
      <c r="I81" s="70">
        <v>-879406.25</v>
      </c>
      <c r="J81" s="70">
        <v>-889690.31</v>
      </c>
      <c r="K81" s="70">
        <v>-865996.47</v>
      </c>
      <c r="L81" s="70">
        <v>-868779.77</v>
      </c>
      <c r="M81" s="70">
        <v>-653231.81000000006</v>
      </c>
      <c r="N81" s="85">
        <f>SUM(B81:M81)</f>
        <v>-10136093.5</v>
      </c>
    </row>
    <row r="82" spans="1:14" s="79" customFormat="1" ht="8.1" customHeight="1" x14ac:dyDescent="0.25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</row>
    <row r="83" spans="1:14" s="79" customFormat="1" ht="15.75" thickBot="1" x14ac:dyDescent="0.3">
      <c r="A83" s="87" t="s">
        <v>143</v>
      </c>
      <c r="B83" s="88">
        <f t="shared" ref="B83:M83" si="16">B56+B41+B77+B73</f>
        <v>97340812.890000001</v>
      </c>
      <c r="C83" s="88">
        <f t="shared" si="16"/>
        <v>101232783.40999998</v>
      </c>
      <c r="D83" s="88">
        <f t="shared" si="16"/>
        <v>93300924.63000001</v>
      </c>
      <c r="E83" s="88">
        <f>E56+E41+E77+E73</f>
        <v>100228947.26000001</v>
      </c>
      <c r="F83" s="88">
        <f t="shared" si="16"/>
        <v>99582747.920000002</v>
      </c>
      <c r="G83" s="88">
        <f t="shared" si="16"/>
        <v>99554933.909999996</v>
      </c>
      <c r="H83" s="88">
        <f t="shared" si="16"/>
        <v>104185001.72999999</v>
      </c>
      <c r="I83" s="88">
        <f t="shared" si="16"/>
        <v>110687249.92</v>
      </c>
      <c r="J83" s="88">
        <f t="shared" si="16"/>
        <v>108769197.97999999</v>
      </c>
      <c r="K83" s="88">
        <f t="shared" si="16"/>
        <v>111332020.08</v>
      </c>
      <c r="L83" s="88">
        <f t="shared" si="16"/>
        <v>112824498</v>
      </c>
      <c r="M83" s="88">
        <f t="shared" si="16"/>
        <v>119515814.96999998</v>
      </c>
      <c r="N83" s="89">
        <f>N56+N41+N77+N73</f>
        <v>1258551987.96</v>
      </c>
    </row>
    <row r="84" spans="1:14" s="79" customFormat="1" ht="9.9499999999999993" customHeight="1" thickTop="1" x14ac:dyDescent="0.25">
      <c r="A84" s="90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103"/>
    </row>
    <row r="85" spans="1:14" s="66" customFormat="1" ht="27" customHeight="1" thickBot="1" x14ac:dyDescent="0.3">
      <c r="A85" s="191" t="s">
        <v>107</v>
      </c>
      <c r="B85" s="193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5"/>
    </row>
    <row r="86" spans="1:14" s="66" customFormat="1" ht="15" customHeight="1" thickTop="1" x14ac:dyDescent="0.25">
      <c r="A86" s="192"/>
      <c r="B86" s="3" t="s">
        <v>61</v>
      </c>
      <c r="C86" s="3" t="s">
        <v>62</v>
      </c>
      <c r="D86" s="3" t="s">
        <v>63</v>
      </c>
      <c r="E86" s="3" t="s">
        <v>64</v>
      </c>
      <c r="F86" s="3" t="s">
        <v>65</v>
      </c>
      <c r="G86" s="3" t="s">
        <v>66</v>
      </c>
      <c r="H86" s="3" t="s">
        <v>67</v>
      </c>
      <c r="I86" s="3" t="s">
        <v>68</v>
      </c>
      <c r="J86" s="3" t="s">
        <v>69</v>
      </c>
      <c r="K86" s="3" t="s">
        <v>70</v>
      </c>
      <c r="L86" s="3" t="s">
        <v>71</v>
      </c>
      <c r="M86" s="3" t="s">
        <v>72</v>
      </c>
      <c r="N86" s="3" t="s">
        <v>12</v>
      </c>
    </row>
    <row r="87" spans="1:14" s="66" customFormat="1" ht="14.1" customHeight="1" x14ac:dyDescent="0.25">
      <c r="A87" s="72" t="s">
        <v>81</v>
      </c>
      <c r="B87" s="73">
        <f t="shared" ref="B87:M87" si="17">ROUND((B27*0.076),2)</f>
        <v>31992558.170000002</v>
      </c>
      <c r="C87" s="73">
        <f t="shared" si="17"/>
        <v>28211996.109999999</v>
      </c>
      <c r="D87" s="73">
        <f t="shared" si="17"/>
        <v>29570760.48</v>
      </c>
      <c r="E87" s="73">
        <f t="shared" si="17"/>
        <v>28882547.16</v>
      </c>
      <c r="F87" s="73">
        <f t="shared" si="17"/>
        <v>30331495.579999998</v>
      </c>
      <c r="G87" s="73">
        <f t="shared" si="17"/>
        <v>30571532.57</v>
      </c>
      <c r="H87" s="73">
        <f t="shared" si="17"/>
        <v>32026671.809999999</v>
      </c>
      <c r="I87" s="73">
        <f t="shared" si="17"/>
        <v>32304439.829999998</v>
      </c>
      <c r="J87" s="73">
        <f t="shared" si="17"/>
        <v>32468614.670000002</v>
      </c>
      <c r="K87" s="73">
        <f t="shared" si="17"/>
        <v>33930320.229999997</v>
      </c>
      <c r="L87" s="73">
        <f t="shared" si="17"/>
        <v>34871034.130000003</v>
      </c>
      <c r="M87" s="73">
        <f t="shared" si="17"/>
        <v>40808484.039999999</v>
      </c>
      <c r="N87" s="78">
        <f>SUM(B87:M87)</f>
        <v>385970454.78000003</v>
      </c>
    </row>
    <row r="88" spans="1:14" s="66" customFormat="1" ht="14.1" customHeight="1" x14ac:dyDescent="0.25">
      <c r="A88" s="72" t="s">
        <v>82</v>
      </c>
      <c r="B88" s="70">
        <f t="shared" ref="B88:H88" si="18">-ROUND((B83*0.076),2)</f>
        <v>-7397901.7800000003</v>
      </c>
      <c r="C88" s="70">
        <f t="shared" si="18"/>
        <v>-7693691.54</v>
      </c>
      <c r="D88" s="70">
        <f t="shared" si="18"/>
        <v>-7090870.2699999996</v>
      </c>
      <c r="E88" s="70">
        <f t="shared" si="18"/>
        <v>-7617399.9900000002</v>
      </c>
      <c r="F88" s="70">
        <f t="shared" si="18"/>
        <v>-7568288.8399999999</v>
      </c>
      <c r="G88" s="70">
        <f t="shared" si="18"/>
        <v>-7566174.9800000004</v>
      </c>
      <c r="H88" s="70">
        <f t="shared" si="18"/>
        <v>-7918060.1299999999</v>
      </c>
      <c r="I88" s="70">
        <f>-ROUND((I83*0.076),2)</f>
        <v>-8412230.9900000002</v>
      </c>
      <c r="J88" s="70">
        <f>-ROUND((J83*0.076),2)</f>
        <v>-8266459.0499999998</v>
      </c>
      <c r="K88" s="70">
        <f>-ROUND((K83*0.076),2)</f>
        <v>-8461233.5299999993</v>
      </c>
      <c r="L88" s="70">
        <f>-ROUND((L83*0.076),2)</f>
        <v>-8574661.8499999996</v>
      </c>
      <c r="M88" s="70">
        <f>-ROUND((M83*0.076),2)</f>
        <v>-9083201.9399999995</v>
      </c>
      <c r="N88" s="85">
        <f>SUM(B88:M88)</f>
        <v>-95650174.890000001</v>
      </c>
    </row>
    <row r="89" spans="1:14" s="79" customFormat="1" ht="7.5" customHeight="1" x14ac:dyDescent="0.25">
      <c r="A89" s="67"/>
      <c r="B89" s="73"/>
      <c r="C89" s="73"/>
      <c r="D89" s="73"/>
      <c r="E89" s="73"/>
      <c r="F89" s="73"/>
      <c r="G89" s="73"/>
      <c r="H89" s="68"/>
      <c r="I89" s="68"/>
      <c r="J89" s="68"/>
      <c r="K89" s="68"/>
      <c r="L89" s="68"/>
      <c r="M89" s="68"/>
      <c r="N89" s="80"/>
    </row>
    <row r="90" spans="1:14" s="79" customFormat="1" ht="14.1" customHeight="1" x14ac:dyDescent="0.25">
      <c r="A90" s="67" t="s">
        <v>83</v>
      </c>
      <c r="B90" s="81">
        <f>SUM(B87:B89)</f>
        <v>24594656.390000001</v>
      </c>
      <c r="C90" s="68">
        <f t="shared" ref="C90:M90" si="19">SUM(C87:C89)</f>
        <v>20518304.57</v>
      </c>
      <c r="D90" s="68">
        <f>SUM(D87:D89)</f>
        <v>22479890.210000001</v>
      </c>
      <c r="E90" s="68">
        <f>SUM(E87:E89)</f>
        <v>21265147.170000002</v>
      </c>
      <c r="F90" s="68">
        <f t="shared" si="19"/>
        <v>22763206.739999998</v>
      </c>
      <c r="G90" s="68">
        <f t="shared" si="19"/>
        <v>23005357.59</v>
      </c>
      <c r="H90" s="68">
        <f t="shared" si="19"/>
        <v>24108611.68</v>
      </c>
      <c r="I90" s="68">
        <f t="shared" si="19"/>
        <v>23892208.839999996</v>
      </c>
      <c r="J90" s="68">
        <f>SUM(J87:J89)</f>
        <v>24202155.620000001</v>
      </c>
      <c r="K90" s="68">
        <f t="shared" si="19"/>
        <v>25469086.699999996</v>
      </c>
      <c r="L90" s="68">
        <f t="shared" si="19"/>
        <v>26296372.280000001</v>
      </c>
      <c r="M90" s="68">
        <f t="shared" si="19"/>
        <v>31725282.100000001</v>
      </c>
      <c r="N90" s="86">
        <f>SUM(N87:N89)</f>
        <v>290320279.89000005</v>
      </c>
    </row>
    <row r="91" spans="1:14" s="79" customFormat="1" ht="8.1" customHeight="1" x14ac:dyDescent="0.25">
      <c r="A91" s="67"/>
      <c r="B91" s="73"/>
      <c r="C91" s="73"/>
      <c r="D91" s="73"/>
      <c r="E91" s="73"/>
      <c r="F91" s="73"/>
      <c r="G91" s="73"/>
      <c r="H91" s="68"/>
      <c r="I91" s="68"/>
      <c r="J91" s="68"/>
      <c r="K91" s="68"/>
      <c r="L91" s="68"/>
      <c r="M91" s="68"/>
      <c r="N91" s="80"/>
    </row>
    <row r="92" spans="1:14" s="66" customFormat="1" ht="14.1" customHeight="1" x14ac:dyDescent="0.25">
      <c r="A92" s="72" t="s">
        <v>84</v>
      </c>
      <c r="B92" s="73">
        <f t="shared" ref="B92:M92" si="20">ROUND((B36*0.04),2)</f>
        <v>109609.23</v>
      </c>
      <c r="C92" s="73">
        <f t="shared" si="20"/>
        <v>116832.85</v>
      </c>
      <c r="D92" s="73">
        <f t="shared" si="20"/>
        <v>122114.67</v>
      </c>
      <c r="E92" s="73">
        <f t="shared" si="20"/>
        <v>147019.07999999999</v>
      </c>
      <c r="F92" s="73">
        <f t="shared" si="20"/>
        <v>162747.32999999999</v>
      </c>
      <c r="G92" s="73">
        <f t="shared" si="20"/>
        <v>158705.42000000001</v>
      </c>
      <c r="H92" s="73">
        <f t="shared" si="20"/>
        <v>161974.01</v>
      </c>
      <c r="I92" s="73">
        <f t="shared" si="20"/>
        <v>128914.88</v>
      </c>
      <c r="J92" s="73">
        <f t="shared" si="20"/>
        <v>127831.79</v>
      </c>
      <c r="K92" s="73">
        <f t="shared" si="20"/>
        <v>137769.07999999999</v>
      </c>
      <c r="L92" s="73">
        <f t="shared" si="20"/>
        <v>168086.97</v>
      </c>
      <c r="M92" s="73">
        <f t="shared" si="20"/>
        <v>136384.29</v>
      </c>
      <c r="N92" s="78">
        <f>SUM(B92:M92)</f>
        <v>1677989.6</v>
      </c>
    </row>
    <row r="93" spans="1:14" s="79" customFormat="1" ht="14.1" customHeight="1" x14ac:dyDescent="0.25">
      <c r="A93" s="67" t="s">
        <v>85</v>
      </c>
      <c r="B93" s="68">
        <f>B92</f>
        <v>109609.23</v>
      </c>
      <c r="C93" s="68">
        <f t="shared" ref="C93:M93" si="21">C92</f>
        <v>116832.85</v>
      </c>
      <c r="D93" s="68">
        <f t="shared" si="21"/>
        <v>122114.67</v>
      </c>
      <c r="E93" s="68">
        <f>E92</f>
        <v>147019.07999999999</v>
      </c>
      <c r="F93" s="68">
        <f t="shared" si="21"/>
        <v>162747.32999999999</v>
      </c>
      <c r="G93" s="68">
        <f t="shared" si="21"/>
        <v>158705.42000000001</v>
      </c>
      <c r="H93" s="68">
        <f t="shared" si="21"/>
        <v>161974.01</v>
      </c>
      <c r="I93" s="68">
        <f t="shared" si="21"/>
        <v>128914.88</v>
      </c>
      <c r="J93" s="68">
        <f t="shared" si="21"/>
        <v>127831.79</v>
      </c>
      <c r="K93" s="68">
        <f t="shared" si="21"/>
        <v>137769.07999999999</v>
      </c>
      <c r="L93" s="68">
        <f t="shared" si="21"/>
        <v>168086.97</v>
      </c>
      <c r="M93" s="68">
        <f t="shared" si="21"/>
        <v>136384.29</v>
      </c>
      <c r="N93" s="80">
        <f>SUM(B93:M93)</f>
        <v>1677989.6</v>
      </c>
    </row>
    <row r="94" spans="1:14" s="79" customFormat="1" ht="8.1" customHeight="1" x14ac:dyDescent="0.25">
      <c r="A94" s="67"/>
      <c r="B94" s="73"/>
      <c r="C94" s="73"/>
      <c r="D94" s="73"/>
      <c r="E94" s="73"/>
      <c r="F94" s="73"/>
      <c r="G94" s="73"/>
      <c r="H94" s="68"/>
      <c r="I94" s="68"/>
      <c r="J94" s="68"/>
      <c r="K94" s="68"/>
      <c r="L94" s="68"/>
      <c r="M94" s="68"/>
      <c r="N94" s="80"/>
    </row>
    <row r="95" spans="1:14" s="79" customFormat="1" ht="14.1" customHeight="1" x14ac:dyDescent="0.25">
      <c r="A95" s="67" t="s">
        <v>86</v>
      </c>
      <c r="B95" s="136">
        <f>B90+B93</f>
        <v>24704265.620000001</v>
      </c>
      <c r="C95" s="104">
        <f t="shared" ref="C95:M95" si="22">C90+C93</f>
        <v>20635137.420000002</v>
      </c>
      <c r="D95" s="104">
        <f t="shared" si="22"/>
        <v>22602004.880000003</v>
      </c>
      <c r="E95" s="104">
        <f>E90+E93</f>
        <v>21412166.25</v>
      </c>
      <c r="F95" s="104">
        <f t="shared" si="22"/>
        <v>22925954.069999997</v>
      </c>
      <c r="G95" s="104">
        <f t="shared" si="22"/>
        <v>23164063.010000002</v>
      </c>
      <c r="H95" s="104">
        <f t="shared" si="22"/>
        <v>24270585.690000001</v>
      </c>
      <c r="I95" s="104">
        <f t="shared" si="22"/>
        <v>24021123.719999995</v>
      </c>
      <c r="J95" s="104">
        <f>J90+J93</f>
        <v>24329987.41</v>
      </c>
      <c r="K95" s="104">
        <f t="shared" si="22"/>
        <v>25606855.779999994</v>
      </c>
      <c r="L95" s="104">
        <f t="shared" si="22"/>
        <v>26464459.25</v>
      </c>
      <c r="M95" s="104">
        <f t="shared" si="22"/>
        <v>31861666.390000001</v>
      </c>
      <c r="N95" s="105">
        <f>SUM(B95:M95)</f>
        <v>291998269.49000001</v>
      </c>
    </row>
    <row r="96" spans="1:14" s="79" customFormat="1" ht="8.1" customHeight="1" x14ac:dyDescent="0.25">
      <c r="A96" s="67"/>
      <c r="B96" s="73"/>
      <c r="C96" s="73"/>
      <c r="D96" s="73"/>
      <c r="E96" s="73"/>
      <c r="F96" s="73"/>
      <c r="G96" s="81"/>
      <c r="H96" s="68"/>
      <c r="I96" s="68"/>
      <c r="J96" s="68"/>
      <c r="K96" s="81"/>
      <c r="L96" s="68"/>
      <c r="M96" s="68"/>
      <c r="N96" s="106"/>
    </row>
    <row r="97" spans="1:60" s="79" customFormat="1" ht="14.1" customHeight="1" x14ac:dyDescent="0.25">
      <c r="A97" s="67" t="s">
        <v>87</v>
      </c>
      <c r="B97" s="81">
        <v>-35224.519999999997</v>
      </c>
      <c r="C97" s="81">
        <v>-43248.65</v>
      </c>
      <c r="D97" s="81">
        <v>-42925.78</v>
      </c>
      <c r="E97" s="81">
        <v>-47117.71</v>
      </c>
      <c r="F97" s="81">
        <v>-43782.75</v>
      </c>
      <c r="G97" s="81">
        <v>-35748.42</v>
      </c>
      <c r="H97" s="81">
        <v>-45273.93</v>
      </c>
      <c r="I97" s="81">
        <v>-66753.960000000006</v>
      </c>
      <c r="J97" s="81">
        <v>-42346.62</v>
      </c>
      <c r="K97" s="81">
        <v>-58881.78</v>
      </c>
      <c r="L97" s="81">
        <v>-46902.38</v>
      </c>
      <c r="M97" s="81">
        <v>-69833.59</v>
      </c>
      <c r="N97" s="81">
        <f>SUM(B97:M97)</f>
        <v>-578040.09</v>
      </c>
    </row>
    <row r="98" spans="1:60" s="79" customFormat="1" ht="14.1" customHeight="1" x14ac:dyDescent="0.25">
      <c r="A98" s="67" t="s">
        <v>88</v>
      </c>
      <c r="B98" s="68">
        <v>0</v>
      </c>
      <c r="C98" s="68">
        <v>0</v>
      </c>
      <c r="D98" s="81">
        <v>-9024.57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81">
        <v>-4512.29</v>
      </c>
      <c r="K98" s="68">
        <v>0</v>
      </c>
      <c r="L98" s="68">
        <v>0</v>
      </c>
      <c r="M98" s="68">
        <v>0</v>
      </c>
      <c r="N98" s="137">
        <f>SUM(B98:M98)</f>
        <v>-13536.86</v>
      </c>
    </row>
    <row r="99" spans="1:60" s="79" customFormat="1" ht="8.1" customHeight="1" x14ac:dyDescent="0.25">
      <c r="A99" s="67"/>
      <c r="B99" s="73"/>
      <c r="C99" s="73"/>
      <c r="D99" s="73"/>
      <c r="E99" s="73"/>
      <c r="F99" s="73"/>
      <c r="G99" s="73"/>
      <c r="H99" s="69"/>
      <c r="I99" s="69"/>
      <c r="J99" s="69"/>
      <c r="K99" s="69"/>
      <c r="L99" s="69"/>
      <c r="M99" s="69"/>
      <c r="N99" s="106"/>
    </row>
    <row r="100" spans="1:60" s="66" customFormat="1" ht="14.1" customHeight="1" x14ac:dyDescent="0.25">
      <c r="A100" s="67" t="s">
        <v>89</v>
      </c>
      <c r="B100" s="136">
        <f>B95+B97</f>
        <v>24669041.100000001</v>
      </c>
      <c r="C100" s="104">
        <f t="shared" ref="C100:M100" si="23">C95+C97</f>
        <v>20591888.770000003</v>
      </c>
      <c r="D100" s="104">
        <f>D95+D97+D98</f>
        <v>22550054.530000001</v>
      </c>
      <c r="E100" s="104">
        <f>E95+E97</f>
        <v>21365048.539999999</v>
      </c>
      <c r="F100" s="104">
        <f t="shared" si="23"/>
        <v>22882171.319999997</v>
      </c>
      <c r="G100" s="104">
        <f t="shared" si="23"/>
        <v>23128314.59</v>
      </c>
      <c r="H100" s="104">
        <f t="shared" si="23"/>
        <v>24225311.760000002</v>
      </c>
      <c r="I100" s="104">
        <f t="shared" si="23"/>
        <v>23954369.759999994</v>
      </c>
      <c r="J100" s="104">
        <f>J95+J97+J98</f>
        <v>24283128.5</v>
      </c>
      <c r="K100" s="104">
        <f t="shared" si="23"/>
        <v>25547973.999999993</v>
      </c>
      <c r="L100" s="104">
        <f t="shared" si="23"/>
        <v>26417556.870000001</v>
      </c>
      <c r="M100" s="104">
        <f t="shared" si="23"/>
        <v>31791832.800000001</v>
      </c>
      <c r="N100" s="105">
        <f>SUM(B100:M100)</f>
        <v>291406692.53999996</v>
      </c>
    </row>
    <row r="101" spans="1:60" s="66" customFormat="1" ht="8.1" customHeight="1" x14ac:dyDescent="0.25">
      <c r="A101" s="67"/>
      <c r="B101" s="73"/>
      <c r="C101" s="73"/>
      <c r="D101" s="73"/>
      <c r="E101" s="73"/>
      <c r="F101" s="73"/>
      <c r="G101" s="73"/>
      <c r="H101" s="68"/>
      <c r="I101" s="68"/>
      <c r="J101" s="68"/>
      <c r="K101" s="68"/>
      <c r="L101" s="68"/>
      <c r="M101" s="68"/>
      <c r="N101" s="80"/>
    </row>
    <row r="102" spans="1:60" s="66" customFormat="1" ht="14.1" customHeight="1" x14ac:dyDescent="0.25">
      <c r="A102" s="67" t="s">
        <v>90</v>
      </c>
      <c r="B102" s="68">
        <v>0</v>
      </c>
      <c r="C102" s="68">
        <v>0</v>
      </c>
      <c r="D102" s="68">
        <v>0</v>
      </c>
      <c r="E102" s="68">
        <v>0</v>
      </c>
      <c r="F102" s="68">
        <v>0</v>
      </c>
      <c r="G102" s="68">
        <v>0</v>
      </c>
      <c r="H102" s="81">
        <v>-15427413.57</v>
      </c>
      <c r="I102" s="68">
        <v>0</v>
      </c>
      <c r="J102" s="68">
        <v>0</v>
      </c>
      <c r="K102" s="68">
        <v>0</v>
      </c>
      <c r="L102" s="68">
        <v>0</v>
      </c>
      <c r="M102" s="68">
        <v>0</v>
      </c>
      <c r="N102" s="80">
        <f>SUM(B102:M102)</f>
        <v>-15427413.57</v>
      </c>
    </row>
    <row r="103" spans="1:60" s="66" customFormat="1" ht="8.1" customHeight="1" thickBot="1" x14ac:dyDescent="0.3">
      <c r="A103" s="67"/>
      <c r="B103" s="107"/>
      <c r="C103" s="107"/>
      <c r="D103" s="107"/>
      <c r="E103" s="107"/>
      <c r="F103" s="107"/>
      <c r="G103" s="107"/>
      <c r="H103" s="68"/>
      <c r="I103" s="68"/>
      <c r="J103" s="68"/>
      <c r="K103" s="68"/>
      <c r="L103" s="68"/>
      <c r="M103" s="68"/>
      <c r="N103" s="80"/>
    </row>
    <row r="104" spans="1:60" s="66" customFormat="1" ht="16.5" thickTop="1" thickBot="1" x14ac:dyDescent="0.3">
      <c r="A104" s="87" t="s">
        <v>91</v>
      </c>
      <c r="B104" s="138">
        <f>+B100+B102</f>
        <v>24669041.100000001</v>
      </c>
      <c r="C104" s="88">
        <f t="shared" ref="C104:M104" si="24">+C100+C102</f>
        <v>20591888.770000003</v>
      </c>
      <c r="D104" s="88">
        <f>+D100+D102</f>
        <v>22550054.530000001</v>
      </c>
      <c r="E104" s="88">
        <f>+E100+E102</f>
        <v>21365048.539999999</v>
      </c>
      <c r="F104" s="88">
        <f t="shared" si="24"/>
        <v>22882171.319999997</v>
      </c>
      <c r="G104" s="88">
        <f t="shared" si="24"/>
        <v>23128314.59</v>
      </c>
      <c r="H104" s="88">
        <f t="shared" si="24"/>
        <v>8797898.1900000013</v>
      </c>
      <c r="I104" s="88">
        <f t="shared" si="24"/>
        <v>23954369.759999994</v>
      </c>
      <c r="J104" s="88">
        <f>+J100+J102</f>
        <v>24283128.5</v>
      </c>
      <c r="K104" s="88">
        <f t="shared" si="24"/>
        <v>25547973.999999993</v>
      </c>
      <c r="L104" s="88">
        <f t="shared" si="24"/>
        <v>26417556.870000001</v>
      </c>
      <c r="M104" s="88">
        <f t="shared" si="24"/>
        <v>31791832.800000001</v>
      </c>
      <c r="N104" s="89">
        <f>N100+N102</f>
        <v>275979278.96999997</v>
      </c>
    </row>
    <row r="105" spans="1:60" s="66" customFormat="1" ht="9.9499999999999993" customHeight="1" thickTop="1" x14ac:dyDescent="0.25">
      <c r="A105" s="79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108"/>
      <c r="M105" s="108"/>
      <c r="N105" s="103"/>
    </row>
    <row r="106" spans="1:60" s="109" customFormat="1" ht="27" customHeight="1" thickBot="1" x14ac:dyDescent="0.3">
      <c r="A106" s="191" t="s">
        <v>108</v>
      </c>
      <c r="B106" s="193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5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</row>
    <row r="107" spans="1:60" s="66" customFormat="1" ht="15" customHeight="1" thickTop="1" x14ac:dyDescent="0.25">
      <c r="A107" s="192"/>
      <c r="B107" s="3" t="s">
        <v>61</v>
      </c>
      <c r="C107" s="3" t="s">
        <v>62</v>
      </c>
      <c r="D107" s="3" t="s">
        <v>63</v>
      </c>
      <c r="E107" s="3" t="s">
        <v>64</v>
      </c>
      <c r="F107" s="3" t="s">
        <v>65</v>
      </c>
      <c r="G107" s="3" t="s">
        <v>66</v>
      </c>
      <c r="H107" s="3" t="s">
        <v>67</v>
      </c>
      <c r="I107" s="3" t="s">
        <v>68</v>
      </c>
      <c r="J107" s="3" t="s">
        <v>69</v>
      </c>
      <c r="K107" s="3" t="s">
        <v>70</v>
      </c>
      <c r="L107" s="3" t="s">
        <v>71</v>
      </c>
      <c r="M107" s="3" t="s">
        <v>72</v>
      </c>
      <c r="N107" s="3" t="s">
        <v>12</v>
      </c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</row>
    <row r="108" spans="1:60" s="66" customFormat="1" ht="14.1" customHeight="1" x14ac:dyDescent="0.25">
      <c r="A108" s="99" t="s">
        <v>92</v>
      </c>
      <c r="B108" s="73">
        <f t="shared" ref="B108:M108" si="25">ROUND((B27*0.0165),2)</f>
        <v>6945752.7599999998</v>
      </c>
      <c r="C108" s="73">
        <f t="shared" si="25"/>
        <v>6124972.8399999999</v>
      </c>
      <c r="D108" s="73">
        <f t="shared" si="25"/>
        <v>6419967.7400000002</v>
      </c>
      <c r="E108" s="73">
        <f t="shared" si="25"/>
        <v>6270553</v>
      </c>
      <c r="F108" s="73">
        <f t="shared" si="25"/>
        <v>6585127.3300000001</v>
      </c>
      <c r="G108" s="73">
        <f t="shared" si="25"/>
        <v>6637240.6200000001</v>
      </c>
      <c r="H108" s="73">
        <f t="shared" si="25"/>
        <v>6953159.0099999998</v>
      </c>
      <c r="I108" s="73">
        <f t="shared" si="25"/>
        <v>7013463.9100000001</v>
      </c>
      <c r="J108" s="73">
        <f t="shared" si="25"/>
        <v>7049107.1299999999</v>
      </c>
      <c r="K108" s="73">
        <f>ROUND((K27*0.0165),2)</f>
        <v>7366451.0999999996</v>
      </c>
      <c r="L108" s="73">
        <f t="shared" si="25"/>
        <v>7570685.04</v>
      </c>
      <c r="M108" s="73">
        <f t="shared" si="25"/>
        <v>8859736.6699999999</v>
      </c>
      <c r="N108" s="78">
        <f>SUM(B108:M108)</f>
        <v>83796217.150000006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</row>
    <row r="109" spans="1:60" s="66" customFormat="1" ht="14.1" customHeight="1" x14ac:dyDescent="0.25">
      <c r="A109" s="72" t="s">
        <v>93</v>
      </c>
      <c r="B109" s="70">
        <f>-ROUND(B83*0.0165,2)</f>
        <v>-1606123.41</v>
      </c>
      <c r="C109" s="70">
        <f>-ROUND(C83*0.0165,2)</f>
        <v>-1670340.93</v>
      </c>
      <c r="D109" s="70">
        <f t="shared" ref="D109:M109" si="26">-ROUND((D83*0.0165),2)</f>
        <v>-1539465.26</v>
      </c>
      <c r="E109" s="70">
        <f t="shared" si="26"/>
        <v>-1653777.63</v>
      </c>
      <c r="F109" s="70">
        <f t="shared" si="26"/>
        <v>-1643115.34</v>
      </c>
      <c r="G109" s="70">
        <f t="shared" si="26"/>
        <v>-1642656.41</v>
      </c>
      <c r="H109" s="70">
        <f t="shared" si="26"/>
        <v>-1719052.53</v>
      </c>
      <c r="I109" s="70">
        <f t="shared" si="26"/>
        <v>-1826339.62</v>
      </c>
      <c r="J109" s="70">
        <f t="shared" si="26"/>
        <v>-1794691.77</v>
      </c>
      <c r="K109" s="70">
        <f>-ROUND((K83*0.0165),2)</f>
        <v>-1836978.33</v>
      </c>
      <c r="L109" s="70">
        <f>-ROUND((L83*0.0165),2)</f>
        <v>-1861604.22</v>
      </c>
      <c r="M109" s="70">
        <f t="shared" si="26"/>
        <v>-1972010.95</v>
      </c>
      <c r="N109" s="85">
        <f>SUM(B109:M109)</f>
        <v>-20766156.399999995</v>
      </c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</row>
    <row r="110" spans="1:60" s="66" customFormat="1" ht="8.1" customHeight="1" x14ac:dyDescent="0.25">
      <c r="A110" s="9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8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</row>
    <row r="111" spans="1:60" s="79" customFormat="1" ht="14.1" customHeight="1" x14ac:dyDescent="0.25">
      <c r="A111" s="97" t="s">
        <v>94</v>
      </c>
      <c r="B111" s="81">
        <f>SUM(B108:B110)</f>
        <v>5339629.3499999996</v>
      </c>
      <c r="C111" s="68">
        <f t="shared" ref="C111:N111" si="27">SUM(C108:C110)</f>
        <v>4454631.91</v>
      </c>
      <c r="D111" s="68">
        <f t="shared" si="27"/>
        <v>4880502.4800000004</v>
      </c>
      <c r="E111" s="68">
        <f>SUM(E108:E110)</f>
        <v>4616775.37</v>
      </c>
      <c r="F111" s="68">
        <f t="shared" si="27"/>
        <v>4942011.99</v>
      </c>
      <c r="G111" s="68">
        <f t="shared" si="27"/>
        <v>4994584.21</v>
      </c>
      <c r="H111" s="68">
        <f t="shared" si="27"/>
        <v>5234106.4799999995</v>
      </c>
      <c r="I111" s="68">
        <f t="shared" si="27"/>
        <v>5187124.29</v>
      </c>
      <c r="J111" s="68">
        <f>SUM(J108:J110)</f>
        <v>5254415.3599999994</v>
      </c>
      <c r="K111" s="68">
        <f t="shared" si="27"/>
        <v>5529472.7699999996</v>
      </c>
      <c r="L111" s="68">
        <f t="shared" si="27"/>
        <v>5709080.8200000003</v>
      </c>
      <c r="M111" s="68">
        <f t="shared" si="27"/>
        <v>6887725.7199999997</v>
      </c>
      <c r="N111" s="86">
        <f t="shared" si="27"/>
        <v>63030060.750000015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</row>
    <row r="112" spans="1:60" s="66" customFormat="1" ht="8.1" customHeight="1" x14ac:dyDescent="0.25">
      <c r="A112" s="9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80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</row>
    <row r="113" spans="1:14" s="66" customFormat="1" ht="14.1" customHeight="1" x14ac:dyDescent="0.25">
      <c r="A113" s="99" t="s">
        <v>95</v>
      </c>
      <c r="B113" s="73">
        <f t="shared" ref="B113:M113" si="28">ROUND((B36*0.0065),2)</f>
        <v>17811.5</v>
      </c>
      <c r="C113" s="73">
        <f t="shared" si="28"/>
        <v>18985.34</v>
      </c>
      <c r="D113" s="73">
        <f t="shared" si="28"/>
        <v>19843.63</v>
      </c>
      <c r="E113" s="73">
        <f t="shared" si="28"/>
        <v>23890.6</v>
      </c>
      <c r="F113" s="73">
        <f t="shared" si="28"/>
        <v>26446.44</v>
      </c>
      <c r="G113" s="73">
        <f t="shared" si="28"/>
        <v>25789.63</v>
      </c>
      <c r="H113" s="73">
        <f t="shared" si="28"/>
        <v>26320.78</v>
      </c>
      <c r="I113" s="73">
        <f t="shared" si="28"/>
        <v>20948.669999999998</v>
      </c>
      <c r="J113" s="73">
        <f t="shared" si="28"/>
        <v>20772.669999999998</v>
      </c>
      <c r="K113" s="73">
        <f t="shared" si="28"/>
        <v>22387.48</v>
      </c>
      <c r="L113" s="73">
        <f t="shared" si="28"/>
        <v>27314.13</v>
      </c>
      <c r="M113" s="73">
        <f t="shared" si="28"/>
        <v>22162.45</v>
      </c>
      <c r="N113" s="78">
        <f>SUM(B113:M113)</f>
        <v>272673.32</v>
      </c>
    </row>
    <row r="114" spans="1:14" s="66" customFormat="1" ht="14.1" customHeight="1" x14ac:dyDescent="0.25">
      <c r="A114" s="97" t="s">
        <v>96</v>
      </c>
      <c r="B114" s="68">
        <f>B113</f>
        <v>17811.5</v>
      </c>
      <c r="C114" s="68">
        <f t="shared" ref="C114:N114" si="29">C113</f>
        <v>18985.34</v>
      </c>
      <c r="D114" s="68">
        <f t="shared" si="29"/>
        <v>19843.63</v>
      </c>
      <c r="E114" s="68">
        <f>E113</f>
        <v>23890.6</v>
      </c>
      <c r="F114" s="68">
        <f t="shared" si="29"/>
        <v>26446.44</v>
      </c>
      <c r="G114" s="68">
        <f t="shared" si="29"/>
        <v>25789.63</v>
      </c>
      <c r="H114" s="68">
        <f t="shared" si="29"/>
        <v>26320.78</v>
      </c>
      <c r="I114" s="68">
        <f t="shared" si="29"/>
        <v>20948.669999999998</v>
      </c>
      <c r="J114" s="68">
        <f t="shared" si="29"/>
        <v>20772.669999999998</v>
      </c>
      <c r="K114" s="68">
        <f t="shared" si="29"/>
        <v>22387.48</v>
      </c>
      <c r="L114" s="68">
        <f t="shared" si="29"/>
        <v>27314.13</v>
      </c>
      <c r="M114" s="68">
        <f t="shared" si="29"/>
        <v>22162.45</v>
      </c>
      <c r="N114" s="86">
        <f t="shared" si="29"/>
        <v>272673.32</v>
      </c>
    </row>
    <row r="115" spans="1:14" s="66" customFormat="1" ht="8.1" customHeight="1" x14ac:dyDescent="0.25">
      <c r="A115" s="9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80"/>
    </row>
    <row r="116" spans="1:14" s="66" customFormat="1" ht="14.1" customHeight="1" x14ac:dyDescent="0.25">
      <c r="A116" s="67" t="s">
        <v>97</v>
      </c>
      <c r="B116" s="136">
        <f>B111+B114</f>
        <v>5357440.8499999996</v>
      </c>
      <c r="C116" s="104">
        <f t="shared" ref="C116:M116" si="30">C111+C114</f>
        <v>4473617.25</v>
      </c>
      <c r="D116" s="104">
        <f t="shared" si="30"/>
        <v>4900346.1100000003</v>
      </c>
      <c r="E116" s="104">
        <f>E111+E114</f>
        <v>4640665.97</v>
      </c>
      <c r="F116" s="104">
        <f t="shared" si="30"/>
        <v>4968458.4300000006</v>
      </c>
      <c r="G116" s="104">
        <f t="shared" si="30"/>
        <v>5020373.84</v>
      </c>
      <c r="H116" s="104">
        <f t="shared" si="30"/>
        <v>5260427.26</v>
      </c>
      <c r="I116" s="104">
        <f t="shared" si="30"/>
        <v>5208072.96</v>
      </c>
      <c r="J116" s="104">
        <f>J111+J114</f>
        <v>5275188.0299999993</v>
      </c>
      <c r="K116" s="104">
        <f t="shared" si="30"/>
        <v>5551860.25</v>
      </c>
      <c r="L116" s="104">
        <f t="shared" si="30"/>
        <v>5736394.9500000002</v>
      </c>
      <c r="M116" s="104">
        <f t="shared" si="30"/>
        <v>6909888.1699999999</v>
      </c>
      <c r="N116" s="105">
        <f>N111+N114</f>
        <v>63302734.070000015</v>
      </c>
    </row>
    <row r="117" spans="1:14" s="66" customFormat="1" ht="8.1" customHeight="1" x14ac:dyDescent="0.25">
      <c r="A117" s="67"/>
      <c r="B117" s="68"/>
      <c r="C117" s="68"/>
      <c r="D117" s="68"/>
      <c r="E117" s="68"/>
      <c r="F117" s="68"/>
      <c r="G117" s="68"/>
      <c r="H117" s="69"/>
      <c r="I117" s="69"/>
      <c r="J117" s="69"/>
      <c r="K117" s="81"/>
      <c r="L117" s="69"/>
      <c r="M117" s="69"/>
      <c r="N117" s="80"/>
    </row>
    <row r="118" spans="1:14" s="66" customFormat="1" ht="14.1" customHeight="1" x14ac:dyDescent="0.25">
      <c r="A118" s="67" t="s">
        <v>87</v>
      </c>
      <c r="B118" s="81">
        <v>-7632.07</v>
      </c>
      <c r="C118" s="81">
        <v>-9370.43</v>
      </c>
      <c r="D118" s="81">
        <v>-9300.58</v>
      </c>
      <c r="E118" s="81">
        <v>-10208.82</v>
      </c>
      <c r="F118" s="81">
        <v>-9486.23</v>
      </c>
      <c r="G118" s="81">
        <v>-7745.47</v>
      </c>
      <c r="H118" s="81">
        <v>-9809.32</v>
      </c>
      <c r="I118" s="81">
        <v>-14463.37</v>
      </c>
      <c r="J118" s="81">
        <v>-9175.11</v>
      </c>
      <c r="K118" s="81">
        <v>-12757.86</v>
      </c>
      <c r="L118" s="81">
        <v>-10162.219999999999</v>
      </c>
      <c r="M118" s="81">
        <v>-15130.67</v>
      </c>
      <c r="N118" s="137">
        <f>SUM(B118:M118)</f>
        <v>-125242.15000000001</v>
      </c>
    </row>
    <row r="119" spans="1:14" s="66" customFormat="1" ht="14.1" customHeight="1" x14ac:dyDescent="0.25">
      <c r="A119" s="97" t="s">
        <v>88</v>
      </c>
      <c r="B119" s="68">
        <v>0</v>
      </c>
      <c r="C119" s="68">
        <v>0</v>
      </c>
      <c r="D119" s="81">
        <v>-1955.32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81">
        <v>-977.66</v>
      </c>
      <c r="K119" s="68">
        <v>0</v>
      </c>
      <c r="L119" s="68">
        <v>0</v>
      </c>
      <c r="M119" s="68">
        <v>0</v>
      </c>
      <c r="N119" s="137">
        <f>SUM(B119:M119)</f>
        <v>-2932.98</v>
      </c>
    </row>
    <row r="120" spans="1:14" s="66" customFormat="1" ht="8.1" customHeight="1" x14ac:dyDescent="0.25">
      <c r="A120" s="97"/>
      <c r="B120" s="68"/>
      <c r="C120" s="68"/>
      <c r="D120" s="68"/>
      <c r="E120" s="68"/>
      <c r="F120" s="68"/>
      <c r="G120" s="68"/>
      <c r="H120" s="69"/>
      <c r="I120" s="69"/>
      <c r="J120" s="69"/>
      <c r="K120" s="69"/>
      <c r="L120" s="73"/>
      <c r="M120" s="73"/>
      <c r="N120" s="106"/>
    </row>
    <row r="121" spans="1:14" s="66" customFormat="1" ht="14.1" customHeight="1" x14ac:dyDescent="0.25">
      <c r="A121" s="97" t="s">
        <v>98</v>
      </c>
      <c r="B121" s="136">
        <f>B116+B118</f>
        <v>5349808.7799999993</v>
      </c>
      <c r="C121" s="104">
        <f t="shared" ref="C121:M121" si="31">C116+C118</f>
        <v>4464246.82</v>
      </c>
      <c r="D121" s="104">
        <f>D116+D118+D119</f>
        <v>4889090.21</v>
      </c>
      <c r="E121" s="104">
        <f>E116+E118</f>
        <v>4630457.1499999994</v>
      </c>
      <c r="F121" s="104">
        <f t="shared" si="31"/>
        <v>4958972.2</v>
      </c>
      <c r="G121" s="104">
        <f t="shared" si="31"/>
        <v>5012628.37</v>
      </c>
      <c r="H121" s="104">
        <f t="shared" si="31"/>
        <v>5250617.9399999995</v>
      </c>
      <c r="I121" s="104">
        <f t="shared" si="31"/>
        <v>5193609.59</v>
      </c>
      <c r="J121" s="104">
        <f>J116+J118+J119</f>
        <v>5265035.2599999988</v>
      </c>
      <c r="K121" s="104">
        <f t="shared" si="31"/>
        <v>5539102.3899999997</v>
      </c>
      <c r="L121" s="104">
        <f t="shared" si="31"/>
        <v>5726232.7300000004</v>
      </c>
      <c r="M121" s="104">
        <f t="shared" si="31"/>
        <v>6894757.5</v>
      </c>
      <c r="N121" s="105">
        <f>SUM(B121:M121)</f>
        <v>63174558.939999998</v>
      </c>
    </row>
    <row r="122" spans="1:14" s="66" customFormat="1" ht="8.1" customHeight="1" x14ac:dyDescent="0.25">
      <c r="A122" s="9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80"/>
    </row>
    <row r="123" spans="1:14" s="66" customFormat="1" ht="14.1" customHeight="1" x14ac:dyDescent="0.25">
      <c r="A123" s="67" t="s">
        <v>90</v>
      </c>
      <c r="B123" s="68">
        <v>0</v>
      </c>
      <c r="C123" s="68">
        <v>0</v>
      </c>
      <c r="D123" s="68">
        <v>0</v>
      </c>
      <c r="E123" s="68">
        <v>0</v>
      </c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68">
        <v>0</v>
      </c>
      <c r="N123" s="80">
        <f>SUM(B123:M123)</f>
        <v>0</v>
      </c>
    </row>
    <row r="124" spans="1:14" s="66" customFormat="1" ht="8.1" customHeight="1" x14ac:dyDescent="0.25">
      <c r="A124" s="67"/>
      <c r="B124" s="68"/>
      <c r="C124" s="68"/>
      <c r="D124" s="68"/>
      <c r="E124" s="68"/>
      <c r="F124" s="68"/>
      <c r="G124" s="68"/>
      <c r="H124" s="110"/>
      <c r="I124" s="110"/>
      <c r="J124" s="110"/>
      <c r="K124" s="110"/>
      <c r="L124" s="110"/>
      <c r="M124" s="110"/>
      <c r="N124" s="111"/>
    </row>
    <row r="125" spans="1:14" s="66" customFormat="1" ht="15.75" thickBot="1" x14ac:dyDescent="0.3">
      <c r="A125" s="87" t="s">
        <v>99</v>
      </c>
      <c r="B125" s="138">
        <f>B121+B123</f>
        <v>5349808.7799999993</v>
      </c>
      <c r="C125" s="88">
        <f t="shared" ref="C125:M125" si="32">C121+C123</f>
        <v>4464246.82</v>
      </c>
      <c r="D125" s="88">
        <f t="shared" si="32"/>
        <v>4889090.21</v>
      </c>
      <c r="E125" s="88">
        <f>E121+E123</f>
        <v>4630457.1499999994</v>
      </c>
      <c r="F125" s="88">
        <f t="shared" si="32"/>
        <v>4958972.2</v>
      </c>
      <c r="G125" s="88">
        <f t="shared" si="32"/>
        <v>5012628.37</v>
      </c>
      <c r="H125" s="88">
        <f t="shared" si="32"/>
        <v>5250617.9399999995</v>
      </c>
      <c r="I125" s="88">
        <f t="shared" si="32"/>
        <v>5193609.59</v>
      </c>
      <c r="J125" s="88">
        <f>J121+J123</f>
        <v>5265035.2599999988</v>
      </c>
      <c r="K125" s="88">
        <f t="shared" si="32"/>
        <v>5539102.3899999997</v>
      </c>
      <c r="L125" s="88">
        <f t="shared" si="32"/>
        <v>5726232.7300000004</v>
      </c>
      <c r="M125" s="88">
        <f t="shared" si="32"/>
        <v>6894757.5</v>
      </c>
      <c r="N125" s="89">
        <f>+N121-N123</f>
        <v>63174558.939999998</v>
      </c>
    </row>
    <row r="126" spans="1:14" s="66" customFormat="1" ht="6" customHeight="1" thickTop="1" x14ac:dyDescent="0.25">
      <c r="A126" s="79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108"/>
      <c r="M126" s="108"/>
      <c r="N126" s="91"/>
    </row>
    <row r="127" spans="1:14" s="66" customFormat="1" ht="14.1" customHeight="1" x14ac:dyDescent="0.25">
      <c r="A127" s="77" t="s">
        <v>100</v>
      </c>
      <c r="B127" s="128">
        <f>IF((B27)=0,"",SUM(B90-B97-B98)/(B27))</f>
        <v>5.8509573985046213E-2</v>
      </c>
      <c r="C127" s="128">
        <f t="shared" ref="C127:N127" si="33">IF((C27)=0,"",SUM(C90-C97-C98)/(C27))</f>
        <v>5.5390552255706514E-2</v>
      </c>
      <c r="D127" s="128">
        <f t="shared" si="33"/>
        <v>5.7909227046653605E-2</v>
      </c>
      <c r="E127" s="128">
        <f t="shared" si="33"/>
        <v>5.6079961432605796E-2</v>
      </c>
      <c r="F127" s="128">
        <f t="shared" si="33"/>
        <v>5.714624908280188E-2</v>
      </c>
      <c r="G127" s="128">
        <f t="shared" si="33"/>
        <v>5.7279564002531938E-2</v>
      </c>
      <c r="H127" s="128">
        <f t="shared" si="33"/>
        <v>5.7317704355773824E-2</v>
      </c>
      <c r="I127" s="128">
        <f t="shared" si="33"/>
        <v>5.6366282236608459E-2</v>
      </c>
      <c r="J127" s="128">
        <f t="shared" si="33"/>
        <v>5.6760201289963431E-2</v>
      </c>
      <c r="K127" s="128">
        <f t="shared" si="33"/>
        <v>5.7179702153176352E-2</v>
      </c>
      <c r="L127" s="128">
        <f t="shared" si="33"/>
        <v>5.7414095220409724E-2</v>
      </c>
      <c r="M127" s="128">
        <f t="shared" si="33"/>
        <v>5.9213882832656661E-2</v>
      </c>
      <c r="N127" s="128">
        <f t="shared" si="33"/>
        <v>5.7282366684484422E-2</v>
      </c>
    </row>
    <row r="128" spans="1:14" s="66" customFormat="1" ht="6.75" customHeight="1" x14ac:dyDescent="0.25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9"/>
    </row>
    <row r="129" spans="1:14" s="66" customFormat="1" ht="14.1" customHeight="1" x14ac:dyDescent="0.25">
      <c r="A129" s="77" t="s">
        <v>101</v>
      </c>
      <c r="B129" s="128">
        <f>IF((B27)=0,"",SUM(B111-B118-B119)/(B27))</f>
        <v>1.2702699977077285E-2</v>
      </c>
      <c r="C129" s="128">
        <f t="shared" ref="C129:N129" si="34">IF((C27)=0,"",SUM(C111-C118-C119)/(C27))</f>
        <v>1.2025529017081043E-2</v>
      </c>
      <c r="D129" s="128">
        <f t="shared" si="34"/>
        <v>1.2572339393688238E-2</v>
      </c>
      <c r="E129" s="128">
        <f t="shared" si="34"/>
        <v>1.2175200354608052E-2</v>
      </c>
      <c r="F129" s="128">
        <f t="shared" si="34"/>
        <v>1.2406703249336667E-2</v>
      </c>
      <c r="G129" s="128">
        <f t="shared" si="34"/>
        <v>1.2435655777243008E-2</v>
      </c>
      <c r="H129" s="128">
        <f t="shared" si="34"/>
        <v>1.2443928084454119E-2</v>
      </c>
      <c r="I129" s="128">
        <f t="shared" si="34"/>
        <v>1.2237347691946824E-2</v>
      </c>
      <c r="J129" s="128">
        <f t="shared" si="34"/>
        <v>1.2322890334113976E-2</v>
      </c>
      <c r="K129" s="128">
        <f t="shared" si="34"/>
        <v>1.2413956752410209E-2</v>
      </c>
      <c r="L129" s="128">
        <f t="shared" si="34"/>
        <v>1.2464857491153895E-2</v>
      </c>
      <c r="M129" s="128">
        <f t="shared" si="34"/>
        <v>1.2855588684543494E-2</v>
      </c>
      <c r="N129" s="128">
        <f t="shared" si="34"/>
        <v>1.2436252224718091E-2</v>
      </c>
    </row>
    <row r="130" spans="1:14" s="66" customFormat="1" ht="6.75" customHeight="1" x14ac:dyDescent="0.25">
      <c r="H130" s="128"/>
      <c r="L130" s="116"/>
      <c r="M130" s="116"/>
      <c r="N130" s="118"/>
    </row>
    <row r="131" spans="1:14" s="79" customFormat="1" ht="14.1" customHeight="1" x14ac:dyDescent="0.25">
      <c r="A131" s="79" t="s">
        <v>102</v>
      </c>
      <c r="B131" s="130">
        <f>SUM(B127:B129)</f>
        <v>7.1212273962123498E-2</v>
      </c>
      <c r="C131" s="130">
        <f t="shared" ref="C131:N131" si="35">SUM(C127:C129)</f>
        <v>6.7416081272787559E-2</v>
      </c>
      <c r="D131" s="130">
        <f t="shared" si="35"/>
        <v>7.0481566440341842E-2</v>
      </c>
      <c r="E131" s="130">
        <f t="shared" si="35"/>
        <v>6.8255161787213844E-2</v>
      </c>
      <c r="F131" s="130">
        <f t="shared" si="35"/>
        <v>6.955295233213854E-2</v>
      </c>
      <c r="G131" s="130">
        <f t="shared" si="35"/>
        <v>6.9715219779774948E-2</v>
      </c>
      <c r="H131" s="130">
        <f t="shared" si="35"/>
        <v>6.9761632440227941E-2</v>
      </c>
      <c r="I131" s="130">
        <f t="shared" si="35"/>
        <v>6.8603629928555288E-2</v>
      </c>
      <c r="J131" s="130">
        <f t="shared" si="35"/>
        <v>6.9083091624077414E-2</v>
      </c>
      <c r="K131" s="130">
        <f t="shared" si="35"/>
        <v>6.9593658905586567E-2</v>
      </c>
      <c r="L131" s="130">
        <f t="shared" si="35"/>
        <v>6.9878952711563622E-2</v>
      </c>
      <c r="M131" s="130">
        <f t="shared" si="35"/>
        <v>7.2069471517200154E-2</v>
      </c>
      <c r="N131" s="130">
        <f t="shared" si="35"/>
        <v>6.9718618909202515E-2</v>
      </c>
    </row>
    <row r="132" spans="1:14" s="66" customFormat="1" ht="4.5" customHeight="1" x14ac:dyDescent="0.25">
      <c r="G132" s="131"/>
      <c r="H132" s="131"/>
      <c r="J132" s="131"/>
      <c r="L132" s="116"/>
      <c r="M132" s="116"/>
      <c r="N132" s="118"/>
    </row>
    <row r="133" spans="1:14" s="66" customFormat="1" x14ac:dyDescent="0.25">
      <c r="A133" s="66" t="s">
        <v>103</v>
      </c>
      <c r="B133" s="132">
        <f>IF((B38)=0,"",SUM(B95)/(B38))</f>
        <v>5.8306727509170125E-2</v>
      </c>
      <c r="C133" s="132">
        <f t="shared" ref="C133:N133" si="36">IF((C38)=0,"",SUM(C95)/(C38))</f>
        <v>5.515480158437891E-2</v>
      </c>
      <c r="D133" s="132">
        <f t="shared" si="36"/>
        <v>5.7637323301173472E-2</v>
      </c>
      <c r="E133" s="132">
        <f t="shared" si="36"/>
        <v>5.5803139040288545E-2</v>
      </c>
      <c r="F133" s="132">
        <f t="shared" si="36"/>
        <v>5.6864615628676889E-2</v>
      </c>
      <c r="G133" s="132">
        <f t="shared" si="36"/>
        <v>5.7022791222316009E-2</v>
      </c>
      <c r="H133" s="132">
        <f t="shared" si="36"/>
        <v>5.7046465478467846E-2</v>
      </c>
      <c r="I133" s="132">
        <f t="shared" si="36"/>
        <v>5.6087259095382258E-2</v>
      </c>
      <c r="J133" s="132">
        <f t="shared" si="36"/>
        <v>5.6526888769738937E-2</v>
      </c>
      <c r="K133" s="132">
        <f t="shared" si="36"/>
        <v>5.6917302352484087E-2</v>
      </c>
      <c r="L133" s="132">
        <f t="shared" si="36"/>
        <v>5.7154762065743901E-2</v>
      </c>
      <c r="M133" s="132">
        <f t="shared" si="36"/>
        <v>5.8963411751235185E-2</v>
      </c>
      <c r="N133" s="132">
        <f t="shared" si="36"/>
        <v>5.7025250079273469E-2</v>
      </c>
    </row>
    <row r="134" spans="1:14" s="66" customFormat="1" ht="6.75" customHeight="1" x14ac:dyDescent="0.25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9"/>
    </row>
    <row r="135" spans="1:14" s="66" customFormat="1" x14ac:dyDescent="0.25">
      <c r="A135" s="66" t="s">
        <v>104</v>
      </c>
      <c r="B135" s="132">
        <f>IF((B38)=0,"",SUM(B116)/(B38))</f>
        <v>1.2644571127609448E-2</v>
      </c>
      <c r="C135" s="132">
        <f t="shared" ref="C135:N135" si="37">IF((C38)=0,"",SUM(C116)/(C38))</f>
        <v>1.1957345704374029E-2</v>
      </c>
      <c r="D135" s="132">
        <f t="shared" si="37"/>
        <v>1.2496361916975117E-2</v>
      </c>
      <c r="E135" s="132">
        <f t="shared" si="37"/>
        <v>1.209423303274817E-2</v>
      </c>
      <c r="F135" s="132">
        <f t="shared" si="37"/>
        <v>1.2323564726089914E-2</v>
      </c>
      <c r="G135" s="132">
        <f t="shared" si="37"/>
        <v>1.2358614687445408E-2</v>
      </c>
      <c r="H135" s="132">
        <f t="shared" si="37"/>
        <v>1.2364299152995889E-2</v>
      </c>
      <c r="I135" s="132">
        <f t="shared" si="37"/>
        <v>1.2160402689736219E-2</v>
      </c>
      <c r="J135" s="132">
        <f t="shared" si="37"/>
        <v>1.2256067460549015E-2</v>
      </c>
      <c r="K135" s="132">
        <f t="shared" si="37"/>
        <v>1.2340324449938694E-2</v>
      </c>
      <c r="L135" s="132">
        <f t="shared" si="37"/>
        <v>1.2388777166583704E-2</v>
      </c>
      <c r="M135" s="132">
        <f t="shared" si="37"/>
        <v>1.2787485008962804E-2</v>
      </c>
      <c r="N135" s="132">
        <f t="shared" si="37"/>
        <v>1.2362587789812644E-2</v>
      </c>
    </row>
    <row r="136" spans="1:14" s="66" customFormat="1" ht="3.75" customHeight="1" x14ac:dyDescent="0.25"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16"/>
      <c r="M136" s="116"/>
      <c r="N136" s="133"/>
    </row>
    <row r="137" spans="1:14" s="79" customFormat="1" x14ac:dyDescent="0.25">
      <c r="A137" s="79" t="s">
        <v>105</v>
      </c>
      <c r="B137" s="134">
        <f>SUM(B133:B135)</f>
        <v>7.0951298636779569E-2</v>
      </c>
      <c r="C137" s="134">
        <f t="shared" ref="C137:N137" si="38">SUM(C133:C135)</f>
        <v>6.7112147288752935E-2</v>
      </c>
      <c r="D137" s="134">
        <f t="shared" si="38"/>
        <v>7.0133685218148584E-2</v>
      </c>
      <c r="E137" s="134">
        <f t="shared" si="38"/>
        <v>6.7897372073036713E-2</v>
      </c>
      <c r="F137" s="134">
        <f t="shared" si="38"/>
        <v>6.9188180354766801E-2</v>
      </c>
      <c r="G137" s="134">
        <f t="shared" si="38"/>
        <v>6.9381405909761412E-2</v>
      </c>
      <c r="H137" s="134">
        <f t="shared" si="38"/>
        <v>6.9410764631463728E-2</v>
      </c>
      <c r="I137" s="134">
        <f t="shared" si="38"/>
        <v>6.8247661785118471E-2</v>
      </c>
      <c r="J137" s="134">
        <f t="shared" si="38"/>
        <v>6.8782956230287948E-2</v>
      </c>
      <c r="K137" s="134">
        <f t="shared" si="38"/>
        <v>6.9257626802422784E-2</v>
      </c>
      <c r="L137" s="134">
        <f t="shared" si="38"/>
        <v>6.9543539232327603E-2</v>
      </c>
      <c r="M137" s="134">
        <f>SUM(M133:M135)</f>
        <v>7.1750896760197996E-2</v>
      </c>
      <c r="N137" s="134">
        <f t="shared" si="38"/>
        <v>6.9387837869086116E-2</v>
      </c>
    </row>
    <row r="138" spans="1:14" s="79" customFormat="1" ht="6.75" customHeight="1" x14ac:dyDescent="0.25">
      <c r="A138" s="66"/>
      <c r="B138" s="116"/>
      <c r="C138" s="116"/>
      <c r="D138" s="116"/>
      <c r="E138" s="66"/>
      <c r="F138" s="66"/>
      <c r="G138" s="116"/>
      <c r="H138" s="66"/>
      <c r="I138" s="116"/>
      <c r="J138" s="116"/>
      <c r="K138" s="116"/>
      <c r="L138" s="116"/>
      <c r="M138" s="116"/>
      <c r="N138" s="118"/>
    </row>
    <row r="139" spans="1:14" s="66" customFormat="1" x14ac:dyDescent="0.25">
      <c r="A139" s="115" t="s">
        <v>106</v>
      </c>
      <c r="B139" s="82">
        <f t="shared" ref="B139:L139" si="39">B104+B125</f>
        <v>30018849.880000003</v>
      </c>
      <c r="C139" s="82">
        <f>C104+C125</f>
        <v>25056135.590000004</v>
      </c>
      <c r="D139" s="82">
        <f t="shared" si="39"/>
        <v>27439144.740000002</v>
      </c>
      <c r="E139" s="82">
        <f>E104+E125</f>
        <v>25995505.689999998</v>
      </c>
      <c r="F139" s="82">
        <f t="shared" si="39"/>
        <v>27841143.519999996</v>
      </c>
      <c r="G139" s="82">
        <f t="shared" si="39"/>
        <v>28140942.960000001</v>
      </c>
      <c r="H139" s="82">
        <f t="shared" si="39"/>
        <v>14048516.130000001</v>
      </c>
      <c r="I139" s="82">
        <f t="shared" si="39"/>
        <v>29147979.349999994</v>
      </c>
      <c r="J139" s="82">
        <f t="shared" si="39"/>
        <v>29548163.759999998</v>
      </c>
      <c r="K139" s="82">
        <f t="shared" si="39"/>
        <v>31087076.389999993</v>
      </c>
      <c r="L139" s="82">
        <f t="shared" si="39"/>
        <v>32143789.600000001</v>
      </c>
      <c r="M139" s="82">
        <f>M104+M125</f>
        <v>38686590.299999997</v>
      </c>
      <c r="N139" s="82">
        <f>N104+N125</f>
        <v>339153837.90999997</v>
      </c>
    </row>
    <row r="140" spans="1:14" s="66" customFormat="1" ht="8.25" customHeight="1" x14ac:dyDescent="0.25">
      <c r="A140" s="149"/>
      <c r="B140" s="116"/>
      <c r="C140" s="116"/>
      <c r="D140" s="116"/>
      <c r="G140" s="116"/>
      <c r="I140" s="117"/>
      <c r="J140" s="116"/>
      <c r="K140" s="116"/>
      <c r="L140" s="116"/>
      <c r="M140" s="116"/>
      <c r="N140" s="118"/>
    </row>
    <row r="141" spans="1:14" s="66" customFormat="1" ht="15.75" customHeight="1" x14ac:dyDescent="0.25">
      <c r="A141" s="188" t="s">
        <v>218</v>
      </c>
      <c r="B141" s="189"/>
      <c r="C141" s="116"/>
      <c r="D141" s="116"/>
      <c r="E141" s="116"/>
      <c r="H141" s="116"/>
      <c r="I141" s="117"/>
      <c r="K141" s="116"/>
      <c r="L141" s="116"/>
      <c r="M141" s="116"/>
      <c r="N141" s="118"/>
    </row>
    <row r="142" spans="1:14" s="66" customFormat="1" x14ac:dyDescent="0.25">
      <c r="B142" s="116"/>
      <c r="C142" s="116"/>
      <c r="D142" s="116"/>
      <c r="E142" s="116"/>
      <c r="H142" s="116"/>
      <c r="I142" s="117"/>
      <c r="K142" s="116"/>
      <c r="L142" s="116"/>
      <c r="M142" s="116"/>
      <c r="N142" s="118"/>
    </row>
    <row r="143" spans="1:14" s="66" customFormat="1" x14ac:dyDescent="0.25">
      <c r="B143" s="116"/>
      <c r="C143" s="116"/>
      <c r="D143" s="116"/>
      <c r="E143" s="116"/>
      <c r="H143" s="116"/>
      <c r="I143" s="117"/>
      <c r="K143" s="116"/>
      <c r="L143" s="116"/>
      <c r="M143" s="116"/>
      <c r="N143" s="118"/>
    </row>
    <row r="144" spans="1:14" s="66" customFormat="1" x14ac:dyDescent="0.25">
      <c r="B144" s="116"/>
      <c r="C144" s="116"/>
      <c r="D144" s="116"/>
      <c r="E144" s="116"/>
      <c r="G144" s="116"/>
      <c r="H144" s="116"/>
      <c r="I144" s="117"/>
      <c r="J144" s="116"/>
      <c r="K144" s="116"/>
      <c r="L144" s="116"/>
      <c r="M144" s="116"/>
      <c r="N144" s="118"/>
    </row>
    <row r="145" spans="2:14" s="66" customFormat="1" x14ac:dyDescent="0.25">
      <c r="B145" s="116"/>
      <c r="C145" s="116"/>
      <c r="D145" s="116"/>
      <c r="E145" s="116"/>
      <c r="G145" s="116"/>
      <c r="H145" s="116"/>
      <c r="I145" s="117"/>
      <c r="J145" s="116"/>
      <c r="K145" s="116"/>
      <c r="L145" s="116"/>
      <c r="M145" s="116"/>
      <c r="N145" s="118"/>
    </row>
    <row r="146" spans="2:14" s="66" customFormat="1" x14ac:dyDescent="0.25">
      <c r="B146" s="116"/>
      <c r="C146" s="116"/>
      <c r="D146" s="116"/>
      <c r="E146" s="116"/>
      <c r="G146" s="116"/>
      <c r="H146" s="116"/>
      <c r="I146" s="117"/>
      <c r="J146" s="116"/>
      <c r="K146" s="116"/>
      <c r="L146" s="116"/>
      <c r="M146" s="116"/>
      <c r="N146" s="118"/>
    </row>
    <row r="147" spans="2:14" s="66" customFormat="1" x14ac:dyDescent="0.25">
      <c r="B147" s="116"/>
      <c r="C147" s="116"/>
      <c r="D147" s="116"/>
      <c r="E147" s="116"/>
      <c r="G147" s="116"/>
      <c r="H147" s="116"/>
      <c r="I147" s="117"/>
      <c r="J147" s="116"/>
      <c r="L147" s="116"/>
      <c r="M147" s="116"/>
      <c r="N147" s="118"/>
    </row>
    <row r="148" spans="2:14" s="66" customFormat="1" x14ac:dyDescent="0.25">
      <c r="C148" s="116"/>
      <c r="D148" s="116"/>
      <c r="E148" s="116"/>
      <c r="G148" s="116"/>
      <c r="H148" s="116"/>
      <c r="I148" s="117"/>
      <c r="J148" s="116"/>
      <c r="L148" s="116"/>
      <c r="M148" s="116"/>
      <c r="N148" s="118"/>
    </row>
    <row r="149" spans="2:14" s="66" customFormat="1" x14ac:dyDescent="0.25">
      <c r="C149" s="116"/>
      <c r="D149" s="116"/>
      <c r="E149" s="116"/>
      <c r="G149" s="116"/>
      <c r="H149" s="116"/>
      <c r="I149" s="117"/>
      <c r="J149" s="116"/>
      <c r="L149" s="116"/>
      <c r="M149" s="116"/>
      <c r="N149" s="118"/>
    </row>
    <row r="150" spans="2:14" s="66" customFormat="1" x14ac:dyDescent="0.25">
      <c r="C150" s="116"/>
      <c r="D150" s="116"/>
      <c r="E150" s="116"/>
      <c r="G150" s="116"/>
      <c r="H150" s="116"/>
      <c r="I150" s="117"/>
      <c r="J150" s="116"/>
      <c r="L150" s="116"/>
      <c r="M150" s="116"/>
      <c r="N150" s="118"/>
    </row>
    <row r="151" spans="2:14" s="66" customFormat="1" x14ac:dyDescent="0.25">
      <c r="C151" s="116"/>
      <c r="D151" s="116"/>
      <c r="E151" s="116"/>
      <c r="G151" s="116"/>
      <c r="H151" s="116"/>
      <c r="I151" s="119"/>
      <c r="J151" s="116"/>
      <c r="L151" s="116"/>
      <c r="M151" s="116"/>
      <c r="N151" s="118"/>
    </row>
    <row r="152" spans="2:14" s="66" customFormat="1" x14ac:dyDescent="0.25">
      <c r="C152" s="116"/>
      <c r="D152" s="116"/>
      <c r="E152" s="116"/>
      <c r="G152" s="116"/>
      <c r="H152" s="116"/>
      <c r="I152" s="119"/>
      <c r="J152" s="116"/>
      <c r="L152" s="116"/>
      <c r="M152" s="116"/>
      <c r="N152" s="118"/>
    </row>
    <row r="153" spans="2:14" s="66" customFormat="1" x14ac:dyDescent="0.25">
      <c r="C153" s="116"/>
      <c r="D153" s="116"/>
      <c r="E153" s="116"/>
      <c r="G153" s="116"/>
      <c r="H153" s="116"/>
      <c r="I153" s="119"/>
      <c r="J153" s="116"/>
      <c r="L153" s="116"/>
      <c r="M153" s="116"/>
      <c r="N153" s="118"/>
    </row>
    <row r="154" spans="2:14" s="66" customFormat="1" x14ac:dyDescent="0.25">
      <c r="C154" s="116"/>
      <c r="D154" s="116"/>
      <c r="E154" s="116"/>
      <c r="G154" s="116"/>
      <c r="H154" s="116"/>
      <c r="I154" s="119"/>
      <c r="J154" s="116"/>
      <c r="L154" s="116"/>
      <c r="M154" s="116"/>
      <c r="N154" s="118"/>
    </row>
    <row r="155" spans="2:14" s="66" customFormat="1" x14ac:dyDescent="0.25">
      <c r="C155" s="116"/>
      <c r="D155" s="116"/>
      <c r="E155" s="116"/>
      <c r="G155" s="116"/>
      <c r="H155" s="116"/>
      <c r="I155" s="119"/>
      <c r="J155" s="116"/>
      <c r="L155" s="116"/>
      <c r="M155" s="116"/>
      <c r="N155" s="118"/>
    </row>
    <row r="156" spans="2:14" s="66" customFormat="1" x14ac:dyDescent="0.25">
      <c r="C156" s="119"/>
      <c r="D156" s="116"/>
      <c r="E156" s="116"/>
      <c r="G156" s="116"/>
      <c r="H156" s="120"/>
      <c r="J156" s="116"/>
      <c r="L156" s="116"/>
      <c r="M156" s="116"/>
      <c r="N156" s="118"/>
    </row>
    <row r="157" spans="2:14" s="66" customFormat="1" x14ac:dyDescent="0.25">
      <c r="D157" s="116"/>
      <c r="E157" s="116"/>
      <c r="G157" s="116"/>
      <c r="H157" s="119"/>
      <c r="I157" s="116"/>
      <c r="J157" s="116"/>
      <c r="L157" s="116"/>
      <c r="M157" s="116"/>
      <c r="N157" s="118"/>
    </row>
  </sheetData>
  <mergeCells count="8">
    <mergeCell ref="A141:B141"/>
    <mergeCell ref="A1:N1"/>
    <mergeCell ref="A2:A3"/>
    <mergeCell ref="B2:N2"/>
    <mergeCell ref="A85:A86"/>
    <mergeCell ref="B85:N85"/>
    <mergeCell ref="A106:A107"/>
    <mergeCell ref="B106:N10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Y140"/>
  <sheetViews>
    <sheetView zoomScaleNormal="100" workbookViewId="0">
      <selection activeCell="C1" sqref="C1"/>
    </sheetView>
  </sheetViews>
  <sheetFormatPr defaultRowHeight="15" x14ac:dyDescent="0.25"/>
  <cols>
    <col min="1" max="1" width="63.42578125" customWidth="1"/>
    <col min="2" max="2" width="17" bestFit="1" customWidth="1"/>
  </cols>
  <sheetData>
    <row r="1" spans="1:2" x14ac:dyDescent="0.25">
      <c r="A1" s="1" t="s">
        <v>204</v>
      </c>
    </row>
    <row r="2" spans="1:2" x14ac:dyDescent="0.25">
      <c r="A2" s="191" t="s">
        <v>80</v>
      </c>
      <c r="B2" s="196">
        <v>2019</v>
      </c>
    </row>
    <row r="3" spans="1:2" ht="5.25" customHeight="1" x14ac:dyDescent="0.25">
      <c r="A3" s="192"/>
      <c r="B3" s="197"/>
    </row>
    <row r="4" spans="1:2" x14ac:dyDescent="0.25">
      <c r="A4" s="139" t="s">
        <v>109</v>
      </c>
      <c r="B4" s="140"/>
    </row>
    <row r="5" spans="1:2" x14ac:dyDescent="0.25">
      <c r="A5" s="72" t="s">
        <v>110</v>
      </c>
      <c r="B5" s="123">
        <v>3064177625.3200002</v>
      </c>
    </row>
    <row r="6" spans="1:2" x14ac:dyDescent="0.25">
      <c r="A6" s="72" t="s">
        <v>111</v>
      </c>
      <c r="B6" s="123">
        <v>106265982.05</v>
      </c>
    </row>
    <row r="7" spans="1:2" x14ac:dyDescent="0.25">
      <c r="A7" s="75" t="s">
        <v>112</v>
      </c>
      <c r="B7" s="123">
        <v>4480541.46</v>
      </c>
    </row>
    <row r="8" spans="1:2" x14ac:dyDescent="0.25">
      <c r="A8" s="72" t="s">
        <v>113</v>
      </c>
      <c r="B8" s="123">
        <v>0</v>
      </c>
    </row>
    <row r="9" spans="1:2" x14ac:dyDescent="0.25">
      <c r="A9" s="72" t="s">
        <v>114</v>
      </c>
      <c r="B9" s="123">
        <v>0</v>
      </c>
    </row>
    <row r="10" spans="1:2" x14ac:dyDescent="0.25">
      <c r="A10" s="72" t="s">
        <v>115</v>
      </c>
      <c r="B10" s="123">
        <v>1811904872.0799999</v>
      </c>
    </row>
    <row r="11" spans="1:2" x14ac:dyDescent="0.25">
      <c r="A11" s="72" t="s">
        <v>116</v>
      </c>
      <c r="B11" s="123">
        <v>34696858.310000002</v>
      </c>
    </row>
    <row r="12" spans="1:2" x14ac:dyDescent="0.25">
      <c r="A12" s="72" t="s">
        <v>117</v>
      </c>
      <c r="B12" s="123">
        <v>2136125.96</v>
      </c>
    </row>
    <row r="13" spans="1:2" x14ac:dyDescent="0.25">
      <c r="A13" s="72" t="s">
        <v>118</v>
      </c>
      <c r="B13" s="123">
        <v>11722104.33</v>
      </c>
    </row>
    <row r="14" spans="1:2" x14ac:dyDescent="0.25">
      <c r="A14" s="67" t="s">
        <v>200</v>
      </c>
      <c r="B14" s="141">
        <v>5035384109.5099993</v>
      </c>
    </row>
    <row r="15" spans="1:2" x14ac:dyDescent="0.25">
      <c r="A15" s="72" t="s">
        <v>119</v>
      </c>
      <c r="B15" s="123">
        <v>18430169.489999998</v>
      </c>
    </row>
    <row r="16" spans="1:2" x14ac:dyDescent="0.25">
      <c r="A16" s="72" t="s">
        <v>120</v>
      </c>
      <c r="B16" s="123">
        <v>24313023.66</v>
      </c>
    </row>
    <row r="17" spans="1:2" x14ac:dyDescent="0.25">
      <c r="A17" s="72" t="s">
        <v>121</v>
      </c>
      <c r="B17" s="123">
        <v>1110000.6100000001</v>
      </c>
    </row>
    <row r="18" spans="1:2" x14ac:dyDescent="0.25">
      <c r="A18" s="72" t="s">
        <v>122</v>
      </c>
      <c r="B18" s="123">
        <v>0</v>
      </c>
    </row>
    <row r="19" spans="1:2" x14ac:dyDescent="0.25">
      <c r="A19" s="67" t="s">
        <v>183</v>
      </c>
      <c r="B19" s="141">
        <v>43853193.759999998</v>
      </c>
    </row>
    <row r="20" spans="1:2" x14ac:dyDescent="0.25">
      <c r="A20" s="72" t="s">
        <v>123</v>
      </c>
      <c r="B20" s="123">
        <v>-122729.32</v>
      </c>
    </row>
    <row r="21" spans="1:2" x14ac:dyDescent="0.25">
      <c r="A21" s="72" t="s">
        <v>124</v>
      </c>
      <c r="B21" s="123">
        <v>0</v>
      </c>
    </row>
    <row r="22" spans="1:2" x14ac:dyDescent="0.25">
      <c r="A22" s="72" t="s">
        <v>125</v>
      </c>
      <c r="B22" s="123">
        <v>0</v>
      </c>
    </row>
    <row r="23" spans="1:2" x14ac:dyDescent="0.25">
      <c r="A23" s="72" t="s">
        <v>126</v>
      </c>
      <c r="B23" s="123">
        <v>-621091.06000000006</v>
      </c>
    </row>
    <row r="24" spans="1:2" x14ac:dyDescent="0.25">
      <c r="A24" s="72" t="s">
        <v>127</v>
      </c>
      <c r="B24" s="123">
        <v>0</v>
      </c>
    </row>
    <row r="25" spans="1:2" x14ac:dyDescent="0.25">
      <c r="A25" s="67" t="s">
        <v>128</v>
      </c>
      <c r="B25" s="123">
        <v>-743820.38000000012</v>
      </c>
    </row>
    <row r="26" spans="1:2" x14ac:dyDescent="0.25">
      <c r="A26" s="72" t="s">
        <v>129</v>
      </c>
      <c r="B26" s="123">
        <v>65132.58</v>
      </c>
    </row>
    <row r="27" spans="1:2" x14ac:dyDescent="0.25">
      <c r="A27" s="67" t="s">
        <v>130</v>
      </c>
      <c r="B27" s="141">
        <v>5078558615.4699993</v>
      </c>
    </row>
    <row r="28" spans="1:2" ht="6" customHeight="1" x14ac:dyDescent="0.25">
      <c r="A28" s="83"/>
      <c r="B28" s="73"/>
    </row>
    <row r="29" spans="1:2" x14ac:dyDescent="0.25">
      <c r="A29" s="84" t="s">
        <v>131</v>
      </c>
      <c r="B29" s="73">
        <v>65516304.740000002</v>
      </c>
    </row>
    <row r="30" spans="1:2" x14ac:dyDescent="0.25">
      <c r="A30" s="72" t="s">
        <v>132</v>
      </c>
      <c r="B30" s="70">
        <v>-22765482.859999999</v>
      </c>
    </row>
    <row r="31" spans="1:2" x14ac:dyDescent="0.25">
      <c r="A31" s="72" t="s">
        <v>133</v>
      </c>
      <c r="B31" s="70">
        <v>-635000.09</v>
      </c>
    </row>
    <row r="32" spans="1:2" x14ac:dyDescent="0.25">
      <c r="A32" s="72" t="s">
        <v>134</v>
      </c>
      <c r="B32" s="124">
        <v>-65132.58</v>
      </c>
    </row>
    <row r="33" spans="1:207" x14ac:dyDescent="0.25">
      <c r="A33" s="72" t="s">
        <v>146</v>
      </c>
      <c r="B33" s="124">
        <v>-65065.41</v>
      </c>
    </row>
    <row r="34" spans="1:207" x14ac:dyDescent="0.25">
      <c r="A34" s="84" t="s">
        <v>147</v>
      </c>
      <c r="B34" s="124">
        <v>-35884.04</v>
      </c>
    </row>
    <row r="35" spans="1:207" x14ac:dyDescent="0.25">
      <c r="A35" s="67" t="s">
        <v>135</v>
      </c>
      <c r="B35" s="142">
        <f t="shared" ref="B35" si="0">SUM(B29:B34)</f>
        <v>41949739.760000005</v>
      </c>
    </row>
    <row r="36" spans="1:207" x14ac:dyDescent="0.25">
      <c r="A36" s="143" t="s">
        <v>136</v>
      </c>
      <c r="B36" s="82">
        <f t="shared" ref="B36" si="1">B35</f>
        <v>41949739.760000005</v>
      </c>
    </row>
    <row r="37" spans="1:207" ht="5.25" customHeight="1" x14ac:dyDescent="0.25">
      <c r="A37" s="67"/>
      <c r="B37" s="68"/>
    </row>
    <row r="38" spans="1:207" ht="15.75" thickBot="1" x14ac:dyDescent="0.3">
      <c r="A38" s="143" t="s">
        <v>137</v>
      </c>
      <c r="B38" s="88">
        <f t="shared" ref="B38" si="2">B27+B36</f>
        <v>5120508355.2299995</v>
      </c>
    </row>
    <row r="39" spans="1:207" ht="7.5" customHeight="1" thickTop="1" thickBot="1" x14ac:dyDescent="0.3"/>
    <row r="40" spans="1:207" s="79" customFormat="1" ht="14.1" customHeight="1" thickTop="1" x14ac:dyDescent="0.25">
      <c r="A40" s="92" t="s">
        <v>138</v>
      </c>
      <c r="B40" s="144">
        <v>2019</v>
      </c>
      <c r="GU40" s="65"/>
      <c r="GV40" s="65"/>
      <c r="GW40" s="65"/>
      <c r="GX40" s="65"/>
      <c r="GY40" s="65"/>
    </row>
    <row r="41" spans="1:207" s="79" customFormat="1" ht="14.1" customHeight="1" x14ac:dyDescent="0.25">
      <c r="A41" s="97" t="s">
        <v>139</v>
      </c>
      <c r="B41" s="68">
        <f>SUM(B42:B54)</f>
        <v>188786943.65000004</v>
      </c>
      <c r="GU41" s="65"/>
      <c r="GV41" s="65"/>
      <c r="GW41" s="65"/>
      <c r="GX41" s="65"/>
      <c r="GY41" s="65"/>
    </row>
    <row r="42" spans="1:207" s="79" customFormat="1" ht="14.1" customHeight="1" x14ac:dyDescent="0.25">
      <c r="A42" s="72" t="s">
        <v>184</v>
      </c>
      <c r="B42" s="73">
        <v>6006319.6900000013</v>
      </c>
      <c r="GU42" s="65"/>
      <c r="GV42" s="65"/>
      <c r="GW42" s="65"/>
      <c r="GX42" s="65"/>
      <c r="GY42" s="65"/>
    </row>
    <row r="43" spans="1:207" s="79" customFormat="1" ht="14.1" customHeight="1" x14ac:dyDescent="0.25">
      <c r="A43" s="72" t="s">
        <v>185</v>
      </c>
      <c r="B43" s="73">
        <v>217985.89000000004</v>
      </c>
      <c r="GU43" s="65"/>
      <c r="GV43" s="65"/>
      <c r="GW43" s="65"/>
      <c r="GX43" s="65"/>
      <c r="GY43" s="65"/>
    </row>
    <row r="44" spans="1:207" s="79" customFormat="1" ht="14.1" customHeight="1" x14ac:dyDescent="0.25">
      <c r="A44" s="72" t="s">
        <v>201</v>
      </c>
      <c r="B44" s="73">
        <v>22941871.920000002</v>
      </c>
      <c r="GU44" s="65"/>
      <c r="GV44" s="65"/>
      <c r="GW44" s="65"/>
      <c r="GX44" s="65"/>
      <c r="GY44" s="65"/>
    </row>
    <row r="45" spans="1:207" s="79" customFormat="1" ht="14.1" customHeight="1" x14ac:dyDescent="0.25">
      <c r="A45" s="72" t="s">
        <v>202</v>
      </c>
      <c r="B45" s="73">
        <v>7857962.5299999993</v>
      </c>
      <c r="GU45" s="65"/>
      <c r="GV45" s="65"/>
      <c r="GW45" s="65"/>
      <c r="GX45" s="65"/>
      <c r="GY45" s="65"/>
    </row>
    <row r="46" spans="1:207" s="79" customFormat="1" ht="14.1" customHeight="1" x14ac:dyDescent="0.25">
      <c r="A46" s="72" t="s">
        <v>203</v>
      </c>
      <c r="B46" s="73">
        <v>121097376.2</v>
      </c>
      <c r="GU46" s="65"/>
      <c r="GV46" s="65"/>
      <c r="GW46" s="65"/>
      <c r="GX46" s="65"/>
      <c r="GY46" s="65"/>
    </row>
    <row r="47" spans="1:207" s="79" customFormat="1" ht="14.1" customHeight="1" x14ac:dyDescent="0.25">
      <c r="A47" s="72" t="s">
        <v>205</v>
      </c>
      <c r="B47" s="73">
        <v>8035.5300000000007</v>
      </c>
      <c r="GU47" s="65"/>
      <c r="GV47" s="65"/>
      <c r="GW47" s="65"/>
      <c r="GX47" s="65"/>
      <c r="GY47" s="65"/>
    </row>
    <row r="48" spans="1:207" s="79" customFormat="1" ht="14.1" customHeight="1" x14ac:dyDescent="0.25">
      <c r="A48" s="72" t="s">
        <v>186</v>
      </c>
      <c r="B48" s="73">
        <v>422392.06</v>
      </c>
      <c r="GU48" s="65"/>
      <c r="GV48" s="65"/>
      <c r="GW48" s="65"/>
      <c r="GX48" s="65"/>
      <c r="GY48" s="65"/>
    </row>
    <row r="49" spans="1:207" s="79" customFormat="1" ht="14.1" customHeight="1" x14ac:dyDescent="0.25">
      <c r="A49" s="72" t="s">
        <v>187</v>
      </c>
      <c r="B49" s="73">
        <v>1543215.7100000002</v>
      </c>
      <c r="GU49" s="65"/>
      <c r="GV49" s="65"/>
      <c r="GW49" s="65"/>
      <c r="GX49" s="65"/>
      <c r="GY49" s="65"/>
    </row>
    <row r="50" spans="1:207" s="79" customFormat="1" ht="14.1" customHeight="1" x14ac:dyDescent="0.25">
      <c r="A50" s="72" t="s">
        <v>188</v>
      </c>
      <c r="B50" s="73">
        <v>14536377.430000002</v>
      </c>
      <c r="GU50" s="65"/>
      <c r="GV50" s="65"/>
      <c r="GW50" s="65"/>
      <c r="GX50" s="65"/>
      <c r="GY50" s="65"/>
    </row>
    <row r="51" spans="1:207" s="79" customFormat="1" ht="14.1" customHeight="1" x14ac:dyDescent="0.25">
      <c r="A51" s="72" t="s">
        <v>189</v>
      </c>
      <c r="B51" s="73">
        <v>117618.56999999999</v>
      </c>
      <c r="GU51" s="65"/>
      <c r="GV51" s="65"/>
      <c r="GW51" s="65"/>
      <c r="GX51" s="65"/>
      <c r="GY51" s="65"/>
    </row>
    <row r="52" spans="1:207" s="79" customFormat="1" ht="14.1" customHeight="1" x14ac:dyDescent="0.25">
      <c r="A52" s="72" t="s">
        <v>190</v>
      </c>
      <c r="B52" s="73">
        <v>2700505.7399999998</v>
      </c>
      <c r="GU52" s="65"/>
      <c r="GV52" s="65"/>
      <c r="GW52" s="65"/>
      <c r="GX52" s="65"/>
      <c r="GY52" s="65"/>
    </row>
    <row r="53" spans="1:207" s="79" customFormat="1" ht="14.1" customHeight="1" x14ac:dyDescent="0.25">
      <c r="A53" s="72" t="s">
        <v>206</v>
      </c>
      <c r="B53" s="73">
        <v>0</v>
      </c>
      <c r="GU53" s="65"/>
      <c r="GV53" s="65"/>
      <c r="GW53" s="65"/>
      <c r="GX53" s="65"/>
      <c r="GY53" s="65"/>
    </row>
    <row r="54" spans="1:207" s="79" customFormat="1" ht="14.1" customHeight="1" x14ac:dyDescent="0.25">
      <c r="A54" s="72" t="s">
        <v>207</v>
      </c>
      <c r="B54" s="73">
        <v>11337282.379999999</v>
      </c>
      <c r="GU54" s="65"/>
      <c r="GV54" s="65"/>
      <c r="GW54" s="65"/>
      <c r="GX54" s="65"/>
      <c r="GY54" s="65"/>
    </row>
    <row r="55" spans="1:207" ht="6.75" customHeight="1" x14ac:dyDescent="0.25"/>
    <row r="56" spans="1:207" x14ac:dyDescent="0.25">
      <c r="A56" s="67" t="s">
        <v>140</v>
      </c>
      <c r="B56" s="68">
        <f>SUM(B57:B71)</f>
        <v>846274392.30000007</v>
      </c>
    </row>
    <row r="57" spans="1:207" x14ac:dyDescent="0.25">
      <c r="A57" s="72" t="s">
        <v>208</v>
      </c>
      <c r="B57" s="73">
        <v>39914864.190000005</v>
      </c>
    </row>
    <row r="58" spans="1:207" x14ac:dyDescent="0.25">
      <c r="A58" s="72" t="s">
        <v>195</v>
      </c>
      <c r="B58" s="73">
        <v>8806944</v>
      </c>
    </row>
    <row r="59" spans="1:207" x14ac:dyDescent="0.25">
      <c r="A59" s="72" t="s">
        <v>209</v>
      </c>
      <c r="B59" s="73">
        <v>474455418.36000001</v>
      </c>
    </row>
    <row r="60" spans="1:207" x14ac:dyDescent="0.25">
      <c r="A60" s="72" t="s">
        <v>194</v>
      </c>
      <c r="B60" s="73">
        <v>6221635.8900000006</v>
      </c>
    </row>
    <row r="61" spans="1:207" x14ac:dyDescent="0.25">
      <c r="A61" s="72" t="s">
        <v>210</v>
      </c>
      <c r="B61" s="73">
        <v>1370314.51</v>
      </c>
    </row>
    <row r="62" spans="1:207" x14ac:dyDescent="0.25">
      <c r="A62" s="72" t="s">
        <v>196</v>
      </c>
      <c r="B62" s="73">
        <v>949861.61</v>
      </c>
    </row>
    <row r="63" spans="1:207" x14ac:dyDescent="0.25">
      <c r="A63" s="72" t="s">
        <v>211</v>
      </c>
      <c r="B63" s="73">
        <v>0</v>
      </c>
    </row>
    <row r="64" spans="1:207" x14ac:dyDescent="0.25">
      <c r="A64" s="72" t="s">
        <v>212</v>
      </c>
      <c r="B64" s="73">
        <v>11336838.369999999</v>
      </c>
    </row>
    <row r="65" spans="1:2" x14ac:dyDescent="0.25">
      <c r="A65" s="72" t="s">
        <v>197</v>
      </c>
      <c r="B65" s="73">
        <v>1232841.8400000001</v>
      </c>
    </row>
    <row r="66" spans="1:2" x14ac:dyDescent="0.25">
      <c r="A66" s="72" t="s">
        <v>213</v>
      </c>
      <c r="B66" s="73">
        <v>56998</v>
      </c>
    </row>
    <row r="67" spans="1:2" x14ac:dyDescent="0.25">
      <c r="A67" s="72" t="s">
        <v>214</v>
      </c>
      <c r="B67" s="73">
        <v>204334535.70999998</v>
      </c>
    </row>
    <row r="68" spans="1:2" x14ac:dyDescent="0.25">
      <c r="A68" s="72" t="s">
        <v>215</v>
      </c>
      <c r="B68" s="73">
        <v>15041411.15</v>
      </c>
    </row>
    <row r="69" spans="1:2" x14ac:dyDescent="0.25">
      <c r="A69" s="72" t="s">
        <v>216</v>
      </c>
      <c r="B69" s="73">
        <v>78602428.810000002</v>
      </c>
    </row>
    <row r="70" spans="1:2" x14ac:dyDescent="0.25">
      <c r="A70" s="72" t="s">
        <v>217</v>
      </c>
      <c r="B70" s="73">
        <v>3312289.1100000003</v>
      </c>
    </row>
    <row r="71" spans="1:2" x14ac:dyDescent="0.25">
      <c r="A71" s="72" t="s">
        <v>198</v>
      </c>
      <c r="B71" s="73">
        <v>638010.75</v>
      </c>
    </row>
    <row r="72" spans="1:2" ht="6.75" customHeight="1" x14ac:dyDescent="0.25">
      <c r="A72" s="99"/>
      <c r="B72" s="131"/>
    </row>
    <row r="73" spans="1:2" x14ac:dyDescent="0.25">
      <c r="A73" s="145" t="s">
        <v>144</v>
      </c>
      <c r="B73" s="146">
        <f t="shared" ref="B73" si="3">B74+B75</f>
        <v>44231429.960000008</v>
      </c>
    </row>
    <row r="74" spans="1:2" x14ac:dyDescent="0.25">
      <c r="A74" s="112" t="s">
        <v>145</v>
      </c>
      <c r="B74" s="73">
        <v>34883502.520000011</v>
      </c>
    </row>
    <row r="75" spans="1:2" x14ac:dyDescent="0.25">
      <c r="A75" s="112" t="s">
        <v>150</v>
      </c>
      <c r="B75" s="73">
        <v>9347927.4399999995</v>
      </c>
    </row>
    <row r="76" spans="1:2" ht="6.75" customHeight="1" x14ac:dyDescent="0.25">
      <c r="A76" s="77"/>
      <c r="B76" s="131"/>
    </row>
    <row r="77" spans="1:2" x14ac:dyDescent="0.25">
      <c r="A77" s="145" t="s">
        <v>141</v>
      </c>
      <c r="B77" s="146">
        <f>B78+B79+B80+B81</f>
        <v>179259222.05000001</v>
      </c>
    </row>
    <row r="78" spans="1:2" x14ac:dyDescent="0.25">
      <c r="A78" s="112" t="s">
        <v>173</v>
      </c>
      <c r="B78" s="73">
        <v>182742862.55000001</v>
      </c>
    </row>
    <row r="79" spans="1:2" x14ac:dyDescent="0.25">
      <c r="A79" s="112" t="s">
        <v>174</v>
      </c>
      <c r="B79" s="73">
        <v>10894571.930000002</v>
      </c>
    </row>
    <row r="80" spans="1:2" x14ac:dyDescent="0.25">
      <c r="A80" s="112" t="s">
        <v>142</v>
      </c>
      <c r="B80" s="73">
        <v>-4242118.93</v>
      </c>
    </row>
    <row r="81" spans="1:2" x14ac:dyDescent="0.25">
      <c r="A81" s="112" t="s">
        <v>151</v>
      </c>
      <c r="B81" s="73">
        <v>-10136093.5</v>
      </c>
    </row>
    <row r="82" spans="1:2" ht="4.5" customHeight="1" x14ac:dyDescent="0.25">
      <c r="A82" s="77"/>
      <c r="B82" s="131"/>
    </row>
    <row r="83" spans="1:2" x14ac:dyDescent="0.25">
      <c r="A83" s="147" t="s">
        <v>175</v>
      </c>
      <c r="B83" s="148">
        <f>B41+B56+B77+B73</f>
        <v>1258551987.96</v>
      </c>
    </row>
    <row r="84" spans="1:2" ht="6.75" customHeight="1" x14ac:dyDescent="0.25"/>
    <row r="85" spans="1:2" ht="15" customHeight="1" x14ac:dyDescent="0.25">
      <c r="A85" s="191" t="s">
        <v>107</v>
      </c>
      <c r="B85" s="196">
        <v>2019</v>
      </c>
    </row>
    <row r="86" spans="1:2" x14ac:dyDescent="0.25">
      <c r="A86" s="192"/>
      <c r="B86" s="197"/>
    </row>
    <row r="87" spans="1:2" x14ac:dyDescent="0.25">
      <c r="A87" s="72" t="s">
        <v>81</v>
      </c>
      <c r="B87" s="73">
        <f>ROUND((B27*0.076),2)</f>
        <v>385970454.77999997</v>
      </c>
    </row>
    <row r="88" spans="1:2" x14ac:dyDescent="0.25">
      <c r="A88" s="72" t="s">
        <v>82</v>
      </c>
      <c r="B88" s="70">
        <v>-95650174.890000001</v>
      </c>
    </row>
    <row r="89" spans="1:2" ht="8.25" customHeight="1" x14ac:dyDescent="0.25">
      <c r="A89" s="67"/>
      <c r="B89" s="73"/>
    </row>
    <row r="90" spans="1:2" x14ac:dyDescent="0.25">
      <c r="A90" s="67" t="s">
        <v>83</v>
      </c>
      <c r="B90" s="68">
        <f>SUM(B87:B89)</f>
        <v>290320279.88999999</v>
      </c>
    </row>
    <row r="91" spans="1:2" ht="6" customHeight="1" x14ac:dyDescent="0.25">
      <c r="A91" s="67"/>
      <c r="B91" s="73"/>
    </row>
    <row r="92" spans="1:2" x14ac:dyDescent="0.25">
      <c r="A92" s="72" t="s">
        <v>84</v>
      </c>
      <c r="B92" s="73">
        <f>ROUND((B35*0.04),2)</f>
        <v>1677989.59</v>
      </c>
    </row>
    <row r="93" spans="1:2" x14ac:dyDescent="0.25">
      <c r="A93" s="67" t="s">
        <v>85</v>
      </c>
      <c r="B93" s="68">
        <f t="shared" ref="B93" si="4">B92</f>
        <v>1677989.59</v>
      </c>
    </row>
    <row r="94" spans="1:2" ht="5.25" customHeight="1" x14ac:dyDescent="0.25">
      <c r="A94" s="67"/>
      <c r="B94" s="73"/>
    </row>
    <row r="95" spans="1:2" x14ac:dyDescent="0.25">
      <c r="A95" s="143" t="s">
        <v>86</v>
      </c>
      <c r="B95" s="136">
        <f>B90+B93</f>
        <v>291998269.47999996</v>
      </c>
    </row>
    <row r="96" spans="1:2" ht="6.75" customHeight="1" x14ac:dyDescent="0.25">
      <c r="A96" s="67"/>
      <c r="B96" s="73"/>
    </row>
    <row r="97" spans="1:2" x14ac:dyDescent="0.25">
      <c r="A97" s="67" t="s">
        <v>87</v>
      </c>
      <c r="B97" s="81">
        <v>-578040.09</v>
      </c>
    </row>
    <row r="98" spans="1:2" x14ac:dyDescent="0.25">
      <c r="A98" s="67" t="s">
        <v>88</v>
      </c>
      <c r="B98" s="81">
        <v>-13536.86</v>
      </c>
    </row>
    <row r="99" spans="1:2" ht="6" customHeight="1" x14ac:dyDescent="0.25">
      <c r="A99" s="67"/>
      <c r="B99" s="73"/>
    </row>
    <row r="100" spans="1:2" x14ac:dyDescent="0.25">
      <c r="A100" s="143" t="s">
        <v>89</v>
      </c>
      <c r="B100" s="104">
        <f>B95+B97+B98</f>
        <v>291406692.52999997</v>
      </c>
    </row>
    <row r="101" spans="1:2" ht="6.75" customHeight="1" x14ac:dyDescent="0.25">
      <c r="A101" s="67"/>
      <c r="B101" s="73"/>
    </row>
    <row r="102" spans="1:2" x14ac:dyDescent="0.25">
      <c r="A102" s="67" t="s">
        <v>90</v>
      </c>
      <c r="B102" s="68">
        <v>-15427413.57</v>
      </c>
    </row>
    <row r="103" spans="1:2" ht="6" customHeight="1" thickBot="1" x14ac:dyDescent="0.3">
      <c r="A103" s="67"/>
      <c r="B103" s="107"/>
    </row>
    <row r="104" spans="1:2" ht="16.5" thickTop="1" thickBot="1" x14ac:dyDescent="0.3">
      <c r="A104" s="143" t="s">
        <v>91</v>
      </c>
      <c r="B104" s="138">
        <f>+B100+B102</f>
        <v>275979278.95999998</v>
      </c>
    </row>
    <row r="105" spans="1:2" ht="9.75" customHeight="1" thickTop="1" x14ac:dyDescent="0.25">
      <c r="A105" s="79"/>
      <c r="B105" s="91"/>
    </row>
    <row r="106" spans="1:2" x14ac:dyDescent="0.25">
      <c r="A106" s="191" t="s">
        <v>176</v>
      </c>
      <c r="B106" s="196">
        <v>2019</v>
      </c>
    </row>
    <row r="107" spans="1:2" x14ac:dyDescent="0.25">
      <c r="A107" s="192"/>
      <c r="B107" s="197"/>
    </row>
    <row r="108" spans="1:2" x14ac:dyDescent="0.25">
      <c r="A108" s="99" t="s">
        <v>92</v>
      </c>
      <c r="B108" s="73">
        <f t="shared" ref="B108" si="5">ROUND((B27*0.0165),2)</f>
        <v>83796217.159999996</v>
      </c>
    </row>
    <row r="109" spans="1:2" x14ac:dyDescent="0.25">
      <c r="A109" s="72" t="s">
        <v>93</v>
      </c>
      <c r="B109" s="70">
        <v>-20766156.399999995</v>
      </c>
    </row>
    <row r="110" spans="1:2" ht="5.25" customHeight="1" x14ac:dyDescent="0.25">
      <c r="A110" s="97"/>
      <c r="B110" s="68"/>
    </row>
    <row r="111" spans="1:2" x14ac:dyDescent="0.25">
      <c r="A111" s="143" t="s">
        <v>94</v>
      </c>
      <c r="B111" s="136">
        <f>SUM(B108:B110)</f>
        <v>63030060.760000005</v>
      </c>
    </row>
    <row r="112" spans="1:2" ht="4.5" customHeight="1" x14ac:dyDescent="0.25">
      <c r="A112" s="97"/>
      <c r="B112" s="68"/>
    </row>
    <row r="113" spans="1:2" x14ac:dyDescent="0.25">
      <c r="A113" s="99" t="s">
        <v>95</v>
      </c>
      <c r="B113" s="73">
        <f>ROUND((B35*0.0065),2)</f>
        <v>272673.31</v>
      </c>
    </row>
    <row r="114" spans="1:2" x14ac:dyDescent="0.25">
      <c r="A114" s="97" t="s">
        <v>96</v>
      </c>
      <c r="B114" s="68">
        <f>B113</f>
        <v>272673.31</v>
      </c>
    </row>
    <row r="115" spans="1:2" ht="3" customHeight="1" x14ac:dyDescent="0.25">
      <c r="A115" s="97"/>
      <c r="B115" s="68"/>
    </row>
    <row r="116" spans="1:2" x14ac:dyDescent="0.25">
      <c r="A116" s="143" t="s">
        <v>97</v>
      </c>
      <c r="B116" s="136">
        <f>B111+B114</f>
        <v>63302734.070000008</v>
      </c>
    </row>
    <row r="117" spans="1:2" ht="6" customHeight="1" x14ac:dyDescent="0.25">
      <c r="A117" s="67"/>
      <c r="B117" s="68"/>
    </row>
    <row r="118" spans="1:2" x14ac:dyDescent="0.25">
      <c r="A118" s="67" t="s">
        <v>87</v>
      </c>
      <c r="B118" s="81">
        <v>-125242.15000000001</v>
      </c>
    </row>
    <row r="119" spans="1:2" x14ac:dyDescent="0.25">
      <c r="A119" s="97" t="s">
        <v>88</v>
      </c>
      <c r="B119" s="81">
        <v>-2932.98</v>
      </c>
    </row>
    <row r="120" spans="1:2" ht="6" customHeight="1" x14ac:dyDescent="0.25">
      <c r="A120" s="97"/>
      <c r="B120" s="68"/>
    </row>
    <row r="121" spans="1:2" x14ac:dyDescent="0.25">
      <c r="A121" s="143" t="s">
        <v>98</v>
      </c>
      <c r="B121" s="136">
        <f>B116+B118+B119</f>
        <v>63174558.940000013</v>
      </c>
    </row>
    <row r="122" spans="1:2" ht="6" customHeight="1" x14ac:dyDescent="0.25">
      <c r="A122" s="97"/>
      <c r="B122" s="68"/>
    </row>
    <row r="123" spans="1:2" x14ac:dyDescent="0.25">
      <c r="A123" s="67" t="s">
        <v>90</v>
      </c>
      <c r="B123" s="68">
        <v>0</v>
      </c>
    </row>
    <row r="124" spans="1:2" ht="6.75" customHeight="1" x14ac:dyDescent="0.25">
      <c r="A124" s="67"/>
      <c r="B124" s="68"/>
    </row>
    <row r="125" spans="1:2" ht="15.75" thickBot="1" x14ac:dyDescent="0.3">
      <c r="A125" s="143" t="s">
        <v>99</v>
      </c>
      <c r="B125" s="138">
        <f t="shared" ref="B125" si="6">B121+B123</f>
        <v>63174558.940000013</v>
      </c>
    </row>
    <row r="126" spans="1:2" ht="8.25" customHeight="1" thickTop="1" x14ac:dyDescent="0.25">
      <c r="A126" s="79"/>
      <c r="B126" s="91"/>
    </row>
    <row r="127" spans="1:2" x14ac:dyDescent="0.25">
      <c r="A127" s="112" t="s">
        <v>100</v>
      </c>
      <c r="B127" s="150">
        <f t="shared" ref="B127" si="7">IF((B27)=0,"",SUM(B90-B97-B98)/(B27))</f>
        <v>5.7282366684484415E-2</v>
      </c>
    </row>
    <row r="128" spans="1:2" ht="6" customHeight="1" x14ac:dyDescent="0.25">
      <c r="A128" s="113"/>
      <c r="B128" s="150"/>
    </row>
    <row r="129" spans="1:2" x14ac:dyDescent="0.25">
      <c r="A129" s="112" t="s">
        <v>101</v>
      </c>
      <c r="B129" s="150">
        <f t="shared" ref="B129" si="8">IF((B27)=0,"",SUM(B111-B118-B119)/(B27))</f>
        <v>1.2436252226687152E-2</v>
      </c>
    </row>
    <row r="130" spans="1:2" ht="8.25" customHeight="1" x14ac:dyDescent="0.25">
      <c r="A130" s="113"/>
      <c r="B130" s="150"/>
    </row>
    <row r="131" spans="1:2" x14ac:dyDescent="0.25">
      <c r="A131" s="114" t="s">
        <v>102</v>
      </c>
      <c r="B131" s="151">
        <f t="shared" ref="B131" si="9">SUM(B127:B129)</f>
        <v>6.9718618911171565E-2</v>
      </c>
    </row>
    <row r="132" spans="1:2" ht="8.25" customHeight="1" x14ac:dyDescent="0.25">
      <c r="A132" s="113"/>
      <c r="B132" s="150"/>
    </row>
    <row r="133" spans="1:2" x14ac:dyDescent="0.25">
      <c r="A133" s="113" t="s">
        <v>103</v>
      </c>
      <c r="B133" s="150">
        <f t="shared" ref="B133" si="10">IF((B38)=0,"",SUM(B95)/(B38))</f>
        <v>5.7025250077320531E-2</v>
      </c>
    </row>
    <row r="134" spans="1:2" ht="6" customHeight="1" x14ac:dyDescent="0.25">
      <c r="A134" s="113"/>
      <c r="B134" s="150"/>
    </row>
    <row r="135" spans="1:2" x14ac:dyDescent="0.25">
      <c r="A135" s="113" t="s">
        <v>104</v>
      </c>
      <c r="B135" s="150">
        <f>IF((B38)=0,"",SUM(B121-B118-B119)/(B38))</f>
        <v>1.2362587789812642E-2</v>
      </c>
    </row>
    <row r="136" spans="1:2" ht="6" customHeight="1" x14ac:dyDescent="0.25">
      <c r="A136" s="113"/>
      <c r="B136" s="152"/>
    </row>
    <row r="137" spans="1:2" ht="15.75" x14ac:dyDescent="0.25">
      <c r="A137" s="154" t="s">
        <v>220</v>
      </c>
      <c r="B137" s="155">
        <f>SUM(B133:B135)</f>
        <v>6.9387837867133179E-2</v>
      </c>
    </row>
    <row r="138" spans="1:2" ht="6" customHeight="1" x14ac:dyDescent="0.25">
      <c r="A138" s="113"/>
      <c r="B138" s="70"/>
    </row>
    <row r="139" spans="1:2" hidden="1" x14ac:dyDescent="0.25">
      <c r="A139" s="115" t="s">
        <v>106</v>
      </c>
      <c r="B139" s="73">
        <f t="shared" ref="B139" si="11">B104+B125</f>
        <v>339153837.89999998</v>
      </c>
    </row>
    <row r="140" spans="1:2" x14ac:dyDescent="0.25">
      <c r="A140" s="1" t="s">
        <v>219</v>
      </c>
    </row>
  </sheetData>
  <mergeCells count="6">
    <mergeCell ref="A2:A3"/>
    <mergeCell ref="B2:B3"/>
    <mergeCell ref="A106:A107"/>
    <mergeCell ref="B106:B107"/>
    <mergeCell ref="A85:A86"/>
    <mergeCell ref="B85:B8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"/>
  <sheetViews>
    <sheetView workbookViewId="0">
      <selection activeCell="D6" sqref="D6"/>
    </sheetView>
  </sheetViews>
  <sheetFormatPr defaultColWidth="42.28515625" defaultRowHeight="15" x14ac:dyDescent="0.25"/>
  <cols>
    <col min="1" max="1" width="8" style="5" customWidth="1"/>
    <col min="2" max="2" width="52.85546875" style="5" customWidth="1"/>
    <col min="3" max="3" width="15.28515625" style="5" bestFit="1" customWidth="1"/>
    <col min="4" max="16384" width="42.28515625" style="5"/>
  </cols>
  <sheetData>
    <row r="1" spans="1:3" x14ac:dyDescent="0.25">
      <c r="A1" s="1" t="s">
        <v>77</v>
      </c>
    </row>
    <row r="2" spans="1:3" x14ac:dyDescent="0.25">
      <c r="A2" s="199" t="s">
        <v>13</v>
      </c>
      <c r="B2" s="199"/>
      <c r="C2" s="35">
        <v>2019</v>
      </c>
    </row>
    <row r="3" spans="1:3" x14ac:dyDescent="0.25">
      <c r="A3" s="36" t="s">
        <v>14</v>
      </c>
      <c r="B3" s="36" t="s">
        <v>15</v>
      </c>
      <c r="C3" s="37">
        <f>'I-OR-2019'!O3</f>
        <v>21386024.84</v>
      </c>
    </row>
    <row r="4" spans="1:3" x14ac:dyDescent="0.25">
      <c r="A4" s="36" t="s">
        <v>16</v>
      </c>
      <c r="B4" s="36" t="s">
        <v>17</v>
      </c>
      <c r="C4" s="37">
        <f>'I-OR-2019'!O4</f>
        <v>9368753.4299999997</v>
      </c>
    </row>
    <row r="5" spans="1:3" x14ac:dyDescent="0.25">
      <c r="A5" s="36" t="s">
        <v>18</v>
      </c>
      <c r="B5" s="36" t="s">
        <v>19</v>
      </c>
      <c r="C5" s="37">
        <f>'I-OR-2019'!O5</f>
        <v>7639419.1900000004</v>
      </c>
    </row>
    <row r="6" spans="1:3" x14ac:dyDescent="0.25">
      <c r="A6" s="36" t="s">
        <v>20</v>
      </c>
      <c r="B6" s="36" t="s">
        <v>21</v>
      </c>
      <c r="C6" s="37">
        <f>'I-OR-2019'!O6</f>
        <v>2381132.69</v>
      </c>
    </row>
    <row r="7" spans="1:3" x14ac:dyDescent="0.25">
      <c r="A7" s="36" t="s">
        <v>22</v>
      </c>
      <c r="B7" s="36" t="s">
        <v>23</v>
      </c>
      <c r="C7" s="37">
        <f>'I-OR-2019'!O7</f>
        <v>13344481.52</v>
      </c>
    </row>
    <row r="8" spans="1:3" x14ac:dyDescent="0.25">
      <c r="A8" s="198" t="s">
        <v>12</v>
      </c>
      <c r="B8" s="198"/>
      <c r="C8" s="38">
        <f>SUM(C3:C7)</f>
        <v>54119811.670000002</v>
      </c>
    </row>
    <row r="9" spans="1:3" x14ac:dyDescent="0.25">
      <c r="A9" s="39"/>
      <c r="B9" s="39"/>
      <c r="C9" s="39"/>
    </row>
    <row r="10" spans="1:3" x14ac:dyDescent="0.25">
      <c r="A10" s="199" t="s">
        <v>24</v>
      </c>
      <c r="B10" s="199"/>
      <c r="C10" s="35">
        <v>2019</v>
      </c>
    </row>
    <row r="11" spans="1:3" x14ac:dyDescent="0.25">
      <c r="A11" s="36" t="s">
        <v>25</v>
      </c>
      <c r="B11" s="36" t="s">
        <v>15</v>
      </c>
      <c r="C11" s="37">
        <f>'I-OR-2019'!O11</f>
        <v>15605199.34</v>
      </c>
    </row>
    <row r="12" spans="1:3" x14ac:dyDescent="0.25">
      <c r="A12" s="36" t="s">
        <v>26</v>
      </c>
      <c r="B12" s="36" t="s">
        <v>27</v>
      </c>
      <c r="C12" s="37">
        <f>'I-OR-2019'!O12</f>
        <v>94204.34</v>
      </c>
    </row>
    <row r="13" spans="1:3" x14ac:dyDescent="0.25">
      <c r="A13" s="36" t="s">
        <v>28</v>
      </c>
      <c r="B13" s="36" t="s">
        <v>21</v>
      </c>
      <c r="C13" s="37">
        <f>'I-OR-2019'!O13</f>
        <v>3029794.87</v>
      </c>
    </row>
    <row r="14" spans="1:3" x14ac:dyDescent="0.25">
      <c r="A14" s="36" t="s">
        <v>29</v>
      </c>
      <c r="B14" s="36" t="s">
        <v>23</v>
      </c>
      <c r="C14" s="37">
        <f>'I-OR-2019'!O14</f>
        <v>2539586.31</v>
      </c>
    </row>
    <row r="15" spans="1:3" x14ac:dyDescent="0.25">
      <c r="A15" s="198" t="s">
        <v>12</v>
      </c>
      <c r="B15" s="198"/>
      <c r="C15" s="38">
        <f>SUM(C11:C14)</f>
        <v>21268784.859999999</v>
      </c>
    </row>
    <row r="16" spans="1:3" x14ac:dyDescent="0.25">
      <c r="A16" s="39"/>
      <c r="B16" s="39"/>
      <c r="C16" s="39"/>
    </row>
    <row r="17" spans="1:3" x14ac:dyDescent="0.25">
      <c r="A17" s="199" t="s">
        <v>30</v>
      </c>
      <c r="B17" s="199"/>
      <c r="C17" s="35">
        <v>2019</v>
      </c>
    </row>
    <row r="18" spans="1:3" x14ac:dyDescent="0.25">
      <c r="A18" s="36" t="s">
        <v>31</v>
      </c>
      <c r="B18" s="36" t="s">
        <v>32</v>
      </c>
      <c r="C18" s="37">
        <f>'I-OR-2019'!O18</f>
        <v>0</v>
      </c>
    </row>
    <row r="19" spans="1:3" x14ac:dyDescent="0.25">
      <c r="A19" s="36" t="s">
        <v>33</v>
      </c>
      <c r="B19" s="36" t="s">
        <v>34</v>
      </c>
      <c r="C19" s="37">
        <f>'I-OR-2019'!O19</f>
        <v>0</v>
      </c>
    </row>
    <row r="20" spans="1:3" x14ac:dyDescent="0.25">
      <c r="A20" s="36" t="s">
        <v>37</v>
      </c>
      <c r="B20" s="36" t="s">
        <v>38</v>
      </c>
      <c r="C20" s="37">
        <f>'I-OR-2019'!O21</f>
        <v>18380182.149999999</v>
      </c>
    </row>
    <row r="21" spans="1:3" x14ac:dyDescent="0.25">
      <c r="A21" s="36" t="s">
        <v>39</v>
      </c>
      <c r="B21" s="36" t="s">
        <v>40</v>
      </c>
      <c r="C21" s="37">
        <f>'I-OR-2019'!O22</f>
        <v>49972.34</v>
      </c>
    </row>
    <row r="22" spans="1:3" x14ac:dyDescent="0.25">
      <c r="A22" s="36" t="s">
        <v>41</v>
      </c>
      <c r="B22" s="36" t="s">
        <v>42</v>
      </c>
      <c r="C22" s="37">
        <f>'I-OR-2019'!O23</f>
        <v>15</v>
      </c>
    </row>
    <row r="23" spans="1:3" x14ac:dyDescent="0.25">
      <c r="A23" s="36" t="s">
        <v>43</v>
      </c>
      <c r="B23" s="36" t="s">
        <v>44</v>
      </c>
      <c r="C23" s="37">
        <f>'I-OR-2019'!O24</f>
        <v>226443.41</v>
      </c>
    </row>
    <row r="24" spans="1:3" x14ac:dyDescent="0.25">
      <c r="A24" s="36" t="s">
        <v>45</v>
      </c>
      <c r="B24" s="36" t="s">
        <v>46</v>
      </c>
      <c r="C24" s="37">
        <f>'I-OR-2019'!O25</f>
        <v>623955.80000000005</v>
      </c>
    </row>
    <row r="25" spans="1:3" x14ac:dyDescent="0.25">
      <c r="A25" s="36" t="s">
        <v>47</v>
      </c>
      <c r="B25" s="36" t="s">
        <v>48</v>
      </c>
      <c r="C25" s="37">
        <f>'I-OR-2019'!O26</f>
        <v>4200000</v>
      </c>
    </row>
    <row r="26" spans="1:3" x14ac:dyDescent="0.25">
      <c r="A26" s="36" t="s">
        <v>49</v>
      </c>
      <c r="B26" s="36" t="s">
        <v>50</v>
      </c>
      <c r="C26" s="37">
        <f>'I-OR-2019'!O27</f>
        <v>419008.63</v>
      </c>
    </row>
    <row r="27" spans="1:3" x14ac:dyDescent="0.25">
      <c r="A27" s="198" t="s">
        <v>12</v>
      </c>
      <c r="B27" s="198"/>
      <c r="C27" s="38">
        <f>SUM(C18:C26)</f>
        <v>23899577.329999998</v>
      </c>
    </row>
    <row r="28" spans="1:3" ht="6" customHeight="1" x14ac:dyDescent="0.25">
      <c r="A28" s="39"/>
      <c r="B28" s="39"/>
      <c r="C28" s="39"/>
    </row>
    <row r="29" spans="1:3" ht="15" customHeight="1" x14ac:dyDescent="0.25">
      <c r="A29" s="198" t="s">
        <v>76</v>
      </c>
      <c r="B29" s="198"/>
      <c r="C29" s="38">
        <f t="shared" ref="C29" si="0">C8+C15+C27</f>
        <v>99288173.859999999</v>
      </c>
    </row>
    <row r="30" spans="1:3" ht="6" customHeight="1" x14ac:dyDescent="0.25"/>
    <row r="31" spans="1:3" x14ac:dyDescent="0.25">
      <c r="A31" s="4" t="s">
        <v>222</v>
      </c>
    </row>
  </sheetData>
  <mergeCells count="7">
    <mergeCell ref="A29:B29"/>
    <mergeCell ref="A2:B2"/>
    <mergeCell ref="A8:B8"/>
    <mergeCell ref="A10:B10"/>
    <mergeCell ref="A15:B15"/>
    <mergeCell ref="A17:B17"/>
    <mergeCell ref="A27:B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workbookViewId="0">
      <selection activeCell="G9" sqref="G9"/>
    </sheetView>
  </sheetViews>
  <sheetFormatPr defaultRowHeight="15" x14ac:dyDescent="0.25"/>
  <cols>
    <col min="1" max="1" width="41" style="42" customWidth="1"/>
    <col min="2" max="2" width="17.7109375" style="42" customWidth="1"/>
    <col min="3" max="3" width="14.28515625" style="42" bestFit="1" customWidth="1"/>
    <col min="4" max="4" width="12.7109375" style="42" bestFit="1" customWidth="1"/>
    <col min="5" max="5" width="16.28515625" style="42" bestFit="1" customWidth="1"/>
    <col min="6" max="6" width="14.28515625" style="42" bestFit="1" customWidth="1"/>
    <col min="7" max="7" width="18.42578125" style="42" bestFit="1" customWidth="1"/>
    <col min="8" max="15" width="14" style="42" bestFit="1" customWidth="1"/>
    <col min="16" max="16" width="15.28515625" style="42" bestFit="1" customWidth="1"/>
    <col min="17" max="17" width="17.42578125" style="42" bestFit="1" customWidth="1"/>
    <col min="18" max="16384" width="9.140625" style="42"/>
  </cols>
  <sheetData>
    <row r="1" spans="1:16" x14ac:dyDescent="0.25">
      <c r="A1" s="4" t="s">
        <v>223</v>
      </c>
    </row>
    <row r="2" spans="1:16" ht="28.5" customHeight="1" x14ac:dyDescent="0.25">
      <c r="A2" s="157" t="s">
        <v>76</v>
      </c>
      <c r="B2" s="60" t="s">
        <v>180</v>
      </c>
      <c r="C2" s="61"/>
      <c r="E2" s="43"/>
    </row>
    <row r="3" spans="1:16" x14ac:dyDescent="0.25">
      <c r="A3" s="44"/>
      <c r="B3" s="62">
        <f>'A-Calculo OR Consol'!C29</f>
        <v>99288173.859999999</v>
      </c>
      <c r="C3" s="62"/>
      <c r="E3" s="45"/>
    </row>
    <row r="4" spans="1:16" ht="3" customHeight="1" x14ac:dyDescent="0.25">
      <c r="A4" s="44"/>
      <c r="B4" s="44"/>
    </row>
    <row r="5" spans="1:16" ht="37.5" customHeight="1" x14ac:dyDescent="0.25">
      <c r="A5" s="40" t="s">
        <v>154</v>
      </c>
      <c r="B5" s="54" t="s">
        <v>155</v>
      </c>
      <c r="C5" s="30" t="s">
        <v>12</v>
      </c>
      <c r="D5" s="46"/>
      <c r="E5" s="46"/>
    </row>
    <row r="6" spans="1:16" x14ac:dyDescent="0.25">
      <c r="A6" s="44"/>
      <c r="B6" s="63">
        <v>0.75</v>
      </c>
      <c r="C6" s="62">
        <f>B3*$B$6</f>
        <v>74466130.394999996</v>
      </c>
      <c r="D6" s="45"/>
      <c r="E6" s="45"/>
    </row>
    <row r="7" spans="1:16" ht="3.75" customHeight="1" x14ac:dyDescent="0.25">
      <c r="A7" s="47"/>
      <c r="B7" s="44"/>
      <c r="C7" s="45"/>
      <c r="D7" s="45"/>
      <c r="E7" s="45"/>
    </row>
    <row r="8" spans="1:16" ht="3" customHeigh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30" customHeight="1" x14ac:dyDescent="0.25">
      <c r="A9" s="41" t="s">
        <v>78</v>
      </c>
      <c r="B9" s="41" t="s">
        <v>79</v>
      </c>
      <c r="C9" s="41" t="s">
        <v>51</v>
      </c>
      <c r="D9" s="41" t="s">
        <v>152</v>
      </c>
      <c r="E9" s="41" t="s">
        <v>153</v>
      </c>
      <c r="F9" s="41" t="s">
        <v>52</v>
      </c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x14ac:dyDescent="0.25">
      <c r="A10" s="55" t="s">
        <v>53</v>
      </c>
      <c r="B10" s="56" t="s">
        <v>177</v>
      </c>
      <c r="C10" s="55">
        <f>'A-Calculo OR Consol'!C8</f>
        <v>54119811.670000002</v>
      </c>
      <c r="D10" s="156">
        <f>'A-Aliq. Efetiva PASEP_COFINS'!B137</f>
        <v>6.9387837867133179E-2</v>
      </c>
      <c r="E10" s="57">
        <f>C10*D10</f>
        <v>3755256.7175577423</v>
      </c>
      <c r="F10" s="55">
        <f>C10-E10</f>
        <v>50364554.952442259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x14ac:dyDescent="0.25">
      <c r="A11" s="55" t="s">
        <v>54</v>
      </c>
      <c r="B11" s="58" t="s">
        <v>178</v>
      </c>
      <c r="C11" s="55">
        <f>'A-Calculo OR Consol'!C15</f>
        <v>21268784.859999999</v>
      </c>
      <c r="D11" s="156">
        <f>'A-Aliq. Efetiva PASEP_COFINS'!B137</f>
        <v>6.9387837867133179E-2</v>
      </c>
      <c r="E11" s="57">
        <f t="shared" ref="E11:E15" si="0">C11*D11</f>
        <v>1475794.9954966167</v>
      </c>
      <c r="F11" s="55">
        <f t="shared" ref="F11:F15" si="1">C11-E11</f>
        <v>19792989.864503384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x14ac:dyDescent="0.25">
      <c r="A12" s="55" t="s">
        <v>55</v>
      </c>
      <c r="B12" s="59">
        <v>116</v>
      </c>
      <c r="C12" s="55">
        <f>'A-Calculo OR Consol'!C20</f>
        <v>18380182.149999999</v>
      </c>
      <c r="D12" s="156">
        <f>'A-Aliq. Efetiva PASEP_COFINS'!B137</f>
        <v>6.9387837867133179E-2</v>
      </c>
      <c r="E12" s="57">
        <f t="shared" si="0"/>
        <v>1275361.0989925752</v>
      </c>
      <c r="F12" s="55">
        <f t="shared" si="1"/>
        <v>17104821.051007424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 x14ac:dyDescent="0.25">
      <c r="A13" s="55" t="s">
        <v>56</v>
      </c>
      <c r="B13" s="56">
        <v>0</v>
      </c>
      <c r="C13" s="55"/>
      <c r="D13" s="156">
        <f>'A-Aliq. Efetiva PASEP_COFINS'!B137</f>
        <v>6.9387837867133179E-2</v>
      </c>
      <c r="E13" s="57">
        <f t="shared" si="0"/>
        <v>0</v>
      </c>
      <c r="F13" s="55">
        <f t="shared" si="1"/>
        <v>0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 x14ac:dyDescent="0.25">
      <c r="A14" s="55" t="s">
        <v>57</v>
      </c>
      <c r="B14" s="56" t="s">
        <v>179</v>
      </c>
      <c r="C14" s="55">
        <f>'A-Calculo OR Consol'!C18+'A-Calculo OR Consol'!C19+'A-Calculo OR Consol'!C21+'A-Calculo OR Consol'!C22</f>
        <v>49987.34</v>
      </c>
      <c r="D14" s="156">
        <f>'A-Aliq. Efetiva PASEP_COFINS'!B137</f>
        <v>6.9387837867133179E-2</v>
      </c>
      <c r="E14" s="57">
        <f t="shared" si="0"/>
        <v>3468.5134433292606</v>
      </c>
      <c r="F14" s="55">
        <f t="shared" si="1"/>
        <v>46518.826556670734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6" x14ac:dyDescent="0.25">
      <c r="A15" s="55" t="s">
        <v>58</v>
      </c>
      <c r="B15" s="56" t="s">
        <v>59</v>
      </c>
      <c r="C15" s="55">
        <f>'A-Calculo OR Consol'!C23+'A-Calculo OR Consol'!C24+'A-Calculo OR Consol'!C25+'A-Calculo OR Consol'!C26</f>
        <v>5469407.8399999999</v>
      </c>
      <c r="D15" s="156">
        <f>'A-Aliq. Efetiva PASEP_COFINS'!B137</f>
        <v>6.9387837867133179E-2</v>
      </c>
      <c r="E15" s="57">
        <f t="shared" si="0"/>
        <v>379510.38443114707</v>
      </c>
      <c r="F15" s="55">
        <f t="shared" si="1"/>
        <v>5089897.4555688528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x14ac:dyDescent="0.25">
      <c r="A16" s="24" t="s">
        <v>60</v>
      </c>
      <c r="B16" s="24"/>
      <c r="C16" s="25">
        <f>SUM(C10:C15)</f>
        <v>99288173.860000014</v>
      </c>
      <c r="D16" s="24"/>
      <c r="E16" s="24"/>
      <c r="F16" s="34">
        <f>SUM(F10:F15)</f>
        <v>92398782.15007858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x14ac:dyDescent="0.25">
      <c r="A17" s="24" t="s">
        <v>157</v>
      </c>
      <c r="B17" s="24"/>
      <c r="C17" s="25">
        <f>C6</f>
        <v>74466130.394999996</v>
      </c>
      <c r="D17" s="24"/>
      <c r="E17" s="24"/>
      <c r="F17" s="3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30" x14ac:dyDescent="0.25">
      <c r="A18" s="64" t="s">
        <v>156</v>
      </c>
      <c r="B18" s="200">
        <f>F16*B6</f>
        <v>69299086.612558931</v>
      </c>
      <c r="C18" s="201"/>
      <c r="D18" s="201"/>
      <c r="E18" s="201"/>
      <c r="F18" s="202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x14ac:dyDescent="0.25">
      <c r="A19" s="4" t="s">
        <v>221</v>
      </c>
      <c r="D19" s="48"/>
      <c r="E19" s="48"/>
      <c r="F19" s="48"/>
    </row>
    <row r="20" spans="1:16" x14ac:dyDescent="0.25">
      <c r="F20" s="49"/>
      <c r="G20" s="49"/>
    </row>
    <row r="21" spans="1:16" x14ac:dyDescent="0.25">
      <c r="C21" s="48"/>
      <c r="D21" s="48"/>
      <c r="E21" s="48"/>
      <c r="F21" s="50"/>
    </row>
    <row r="22" spans="1:16" x14ac:dyDescent="0.25">
      <c r="C22" s="48"/>
      <c r="D22" s="48"/>
      <c r="E22" s="48"/>
    </row>
    <row r="23" spans="1:16" x14ac:dyDescent="0.25">
      <c r="C23" s="51"/>
      <c r="D23" s="51"/>
      <c r="E23" s="51"/>
      <c r="G23" s="48"/>
    </row>
    <row r="24" spans="1:16" x14ac:dyDescent="0.25">
      <c r="G24" s="51"/>
    </row>
    <row r="26" spans="1:16" x14ac:dyDescent="0.25">
      <c r="G26" s="52"/>
    </row>
    <row r="27" spans="1:16" x14ac:dyDescent="0.25">
      <c r="H27" s="53"/>
    </row>
  </sheetData>
  <mergeCells count="1">
    <mergeCell ref="B18:F1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Mapa_Planilha</vt:lpstr>
      <vt:lpstr>I-OR-2019</vt:lpstr>
      <vt:lpstr>I-CALCULO PASEP_COFINS 2019</vt:lpstr>
      <vt:lpstr>A-Aliq. Efetiva PASEP_COFINS</vt:lpstr>
      <vt:lpstr>A-Calculo OR Consol</vt:lpstr>
      <vt:lpstr>R-Compartilhamento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 Wagner Skaleski</dc:creator>
  <cp:lastModifiedBy>Luciano Ricardo Menegazzo</cp:lastModifiedBy>
  <dcterms:created xsi:type="dcterms:W3CDTF">2019-11-25T15:00:33Z</dcterms:created>
  <dcterms:modified xsi:type="dcterms:W3CDTF">2021-04-13T19:10:43Z</dcterms:modified>
</cp:coreProperties>
</file>