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1\4-2a RTP-etapa2\8-Docs Finais 1a Fase\Planilhas-1aFase2aRTP\"/>
    </mc:Choice>
  </mc:AlternateContent>
  <xr:revisionPtr revIDLastSave="3" documentId="14_{A4C9FDD1-331E-4874-A35C-70A0A6AA07EF}" xr6:coauthVersionLast="36" xr6:coauthVersionMax="36" xr10:uidLastSave="{8A370524-809F-4E0C-8C9D-BEFF19FF47BA}"/>
  <bookViews>
    <workbookView xWindow="-120" yWindow="-120" windowWidth="20730" windowHeight="11160" tabRatio="785" xr2:uid="{20F00A0E-900D-4057-A36C-8B76C760B413}"/>
  </bookViews>
  <sheets>
    <sheet name="Mapa_Planilha" sheetId="20" r:id="rId1"/>
    <sheet name="I-Dados" sheetId="25" r:id="rId2"/>
    <sheet name="I-TarifaVerificada" sheetId="32" r:id="rId3"/>
    <sheet name="A-DiferençaMédia" sheetId="33" r:id="rId4"/>
    <sheet name="A-Tarifa-P0" sheetId="28" r:id="rId5"/>
    <sheet name="A-Fator-X" sheetId="30" r:id="rId6"/>
    <sheet name="R-TarifaRTP-2021" sheetId="24" r:id="rId7"/>
  </sheets>
  <externalReferences>
    <externalReference r:id="rId8"/>
    <externalReference r:id="rId9"/>
  </externalReferences>
  <definedNames>
    <definedName name="Ajuste_IR">[1]Menu!$E$25</definedName>
    <definedName name="ano_fim">[2]Menu!$D$20</definedName>
    <definedName name="fator_x">'[2]Fator X'!$B$46</definedName>
    <definedName name="P0_San_A">[1]P0_Sanepar!$I$5</definedName>
    <definedName name="P0_San_E">[1]P0_Sanepar!$P$5</definedName>
    <definedName name="P0_San_T">[2]P0_Sanepar!$B$5</definedName>
    <definedName name="solver_adj" localSheetId="5" hidden="1">'A-Fator-X'!$B$45</definedName>
    <definedName name="solver_adj" localSheetId="4" hidden="1">'A-Tarifa-P0'!$B$75</definedName>
    <definedName name="solver_cvg" localSheetId="5" hidden="1">0.0001</definedName>
    <definedName name="solver_cvg" localSheetId="4" hidden="1">0.0001</definedName>
    <definedName name="solver_drv" localSheetId="5" hidden="1">1</definedName>
    <definedName name="solver_drv" localSheetId="4" hidden="1">1</definedName>
    <definedName name="solver_eng" localSheetId="5" hidden="1">1</definedName>
    <definedName name="solver_eng" localSheetId="4" hidden="1">1</definedName>
    <definedName name="solver_est" localSheetId="5" hidden="1">1</definedName>
    <definedName name="solver_est" localSheetId="4" hidden="1">1</definedName>
    <definedName name="solver_itr" localSheetId="5" hidden="1">2147483647</definedName>
    <definedName name="solver_itr" localSheetId="4" hidden="1">2147483647</definedName>
    <definedName name="solver_mip" localSheetId="5" hidden="1">2147483647</definedName>
    <definedName name="solver_mip" localSheetId="4" hidden="1">2147483647</definedName>
    <definedName name="solver_mni" localSheetId="5" hidden="1">30</definedName>
    <definedName name="solver_mni" localSheetId="4" hidden="1">30</definedName>
    <definedName name="solver_mrt" localSheetId="5" hidden="1">0.075</definedName>
    <definedName name="solver_mrt" localSheetId="4" hidden="1">0.075</definedName>
    <definedName name="solver_msl" localSheetId="5" hidden="1">2</definedName>
    <definedName name="solver_msl" localSheetId="4" hidden="1">2</definedName>
    <definedName name="solver_neg" localSheetId="5" hidden="1">1</definedName>
    <definedName name="solver_neg" localSheetId="4" hidden="1">2</definedName>
    <definedName name="solver_nod" localSheetId="5" hidden="1">2147483647</definedName>
    <definedName name="solver_nod" localSheetId="4" hidden="1">2147483647</definedName>
    <definedName name="solver_num" localSheetId="5" hidden="1">0</definedName>
    <definedName name="solver_num" localSheetId="4" hidden="1">0</definedName>
    <definedName name="solver_nwt" localSheetId="5" hidden="1">1</definedName>
    <definedName name="solver_nwt" localSheetId="4" hidden="1">1</definedName>
    <definedName name="solver_opt" localSheetId="5" hidden="1">'A-Fator-X'!$B$44</definedName>
    <definedName name="solver_opt" localSheetId="4" hidden="1">'A-Tarifa-P0'!$B$74</definedName>
    <definedName name="solver_pre" localSheetId="5" hidden="1">0.000001</definedName>
    <definedName name="solver_pre" localSheetId="4" hidden="1">0.000001</definedName>
    <definedName name="solver_rbv" localSheetId="5" hidden="1">1</definedName>
    <definedName name="solver_rbv" localSheetId="4" hidden="1">1</definedName>
    <definedName name="solver_rlx" localSheetId="5" hidden="1">2</definedName>
    <definedName name="solver_rlx" localSheetId="4" hidden="1">2</definedName>
    <definedName name="solver_rsd" localSheetId="5" hidden="1">0</definedName>
    <definedName name="solver_rsd" localSheetId="4" hidden="1">0</definedName>
    <definedName name="solver_scl" localSheetId="5" hidden="1">1</definedName>
    <definedName name="solver_scl" localSheetId="4" hidden="1">1</definedName>
    <definedName name="solver_sho" localSheetId="5" hidden="1">2</definedName>
    <definedName name="solver_sho" localSheetId="4" hidden="1">2</definedName>
    <definedName name="solver_ssz" localSheetId="5" hidden="1">100</definedName>
    <definedName name="solver_ssz" localSheetId="4" hidden="1">100</definedName>
    <definedName name="solver_tim" localSheetId="5" hidden="1">2147483647</definedName>
    <definedName name="solver_tim" localSheetId="4" hidden="1">2147483647</definedName>
    <definedName name="solver_tol" localSheetId="5" hidden="1">0.01</definedName>
    <definedName name="solver_tol" localSheetId="4" hidden="1">0.01</definedName>
    <definedName name="solver_typ" localSheetId="5" hidden="1">3</definedName>
    <definedName name="solver_typ" localSheetId="4" hidden="1">3</definedName>
    <definedName name="solver_val" localSheetId="5" hidden="1">0</definedName>
    <definedName name="solver_val" localSheetId="4" hidden="1">0</definedName>
    <definedName name="solver_ver" localSheetId="5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28" l="1"/>
  <c r="D5" i="24" l="1"/>
  <c r="M29" i="33" l="1"/>
  <c r="C28" i="33"/>
  <c r="D28" i="33"/>
  <c r="D30" i="33" s="1"/>
  <c r="D31" i="33" s="1"/>
  <c r="E28" i="33"/>
  <c r="E30" i="33" s="1"/>
  <c r="E31" i="33" s="1"/>
  <c r="F28" i="33"/>
  <c r="F30" i="33" s="1"/>
  <c r="F31" i="33" s="1"/>
  <c r="G28" i="33"/>
  <c r="H28" i="33"/>
  <c r="I28" i="33"/>
  <c r="I30" i="33" s="1"/>
  <c r="I31" i="33" s="1"/>
  <c r="J28" i="33"/>
  <c r="J30" i="33" s="1"/>
  <c r="J31" i="33" s="1"/>
  <c r="K28" i="33"/>
  <c r="L28" i="33"/>
  <c r="L30" i="33" s="1"/>
  <c r="L31" i="33" s="1"/>
  <c r="M28" i="33"/>
  <c r="B28" i="33"/>
  <c r="C22" i="33"/>
  <c r="D22" i="33"/>
  <c r="D24" i="33" s="1"/>
  <c r="D25" i="33" s="1"/>
  <c r="E22" i="33"/>
  <c r="F22" i="33"/>
  <c r="G22" i="33"/>
  <c r="H22" i="33"/>
  <c r="H24" i="33" s="1"/>
  <c r="H25" i="33" s="1"/>
  <c r="I22" i="33"/>
  <c r="I24" i="33" s="1"/>
  <c r="I25" i="33" s="1"/>
  <c r="J22" i="33"/>
  <c r="K22" i="33"/>
  <c r="L22" i="33"/>
  <c r="L24" i="33" s="1"/>
  <c r="L25" i="33" s="1"/>
  <c r="M22" i="33"/>
  <c r="M24" i="33" s="1"/>
  <c r="M25" i="33" s="1"/>
  <c r="B22" i="33"/>
  <c r="B24" i="33" s="1"/>
  <c r="B25" i="33" s="1"/>
  <c r="C16" i="33"/>
  <c r="D16" i="33"/>
  <c r="D18" i="33" s="1"/>
  <c r="D19" i="33" s="1"/>
  <c r="E16" i="33"/>
  <c r="E18" i="33" s="1"/>
  <c r="E19" i="33" s="1"/>
  <c r="F16" i="33"/>
  <c r="G16" i="33"/>
  <c r="H16" i="33"/>
  <c r="H18" i="33" s="1"/>
  <c r="H19" i="33" s="1"/>
  <c r="I16" i="33"/>
  <c r="I18" i="33" s="1"/>
  <c r="I19" i="33" s="1"/>
  <c r="J16" i="33"/>
  <c r="J18" i="33" s="1"/>
  <c r="J19" i="33" s="1"/>
  <c r="K16" i="33"/>
  <c r="L16" i="33"/>
  <c r="L18" i="33" s="1"/>
  <c r="L19" i="33" s="1"/>
  <c r="M16" i="33"/>
  <c r="M18" i="33" s="1"/>
  <c r="M19" i="33" s="1"/>
  <c r="B16" i="33"/>
  <c r="C10" i="33"/>
  <c r="D10" i="33"/>
  <c r="E10" i="33"/>
  <c r="F10" i="33"/>
  <c r="G10" i="33"/>
  <c r="H10" i="33"/>
  <c r="H12" i="33" s="1"/>
  <c r="H13" i="33" s="1"/>
  <c r="I10" i="33"/>
  <c r="I12" i="33" s="1"/>
  <c r="I13" i="33" s="1"/>
  <c r="J10" i="33"/>
  <c r="K10" i="33"/>
  <c r="L10" i="33"/>
  <c r="M10" i="33"/>
  <c r="B10" i="33"/>
  <c r="L29" i="33"/>
  <c r="K29" i="33"/>
  <c r="J29" i="33"/>
  <c r="I29" i="33"/>
  <c r="H29" i="33"/>
  <c r="G29" i="33"/>
  <c r="F29" i="33"/>
  <c r="E29" i="33"/>
  <c r="D29" i="33"/>
  <c r="C29" i="33"/>
  <c r="B29" i="33"/>
  <c r="K30" i="33"/>
  <c r="K31" i="33" s="1"/>
  <c r="G30" i="33"/>
  <c r="G31" i="33" s="1"/>
  <c r="C30" i="33"/>
  <c r="C31" i="33" s="1"/>
  <c r="B30" i="33"/>
  <c r="B31" i="33" s="1"/>
  <c r="M23" i="33"/>
  <c r="L23" i="33"/>
  <c r="K23" i="33"/>
  <c r="J23" i="33"/>
  <c r="I23" i="33"/>
  <c r="H23" i="33"/>
  <c r="G23" i="33"/>
  <c r="F23" i="33"/>
  <c r="E23" i="33"/>
  <c r="D23" i="33"/>
  <c r="C23" i="33"/>
  <c r="B23" i="33"/>
  <c r="K24" i="33"/>
  <c r="K25" i="33" s="1"/>
  <c r="J24" i="33"/>
  <c r="J25" i="33" s="1"/>
  <c r="G24" i="33"/>
  <c r="G25" i="33" s="1"/>
  <c r="F24" i="33"/>
  <c r="F25" i="33" s="1"/>
  <c r="C24" i="33"/>
  <c r="C25" i="33" s="1"/>
  <c r="M17" i="33"/>
  <c r="L17" i="33"/>
  <c r="K17" i="33"/>
  <c r="J17" i="33"/>
  <c r="I17" i="33"/>
  <c r="H17" i="33"/>
  <c r="G17" i="33"/>
  <c r="F17" i="33"/>
  <c r="E17" i="33"/>
  <c r="D17" i="33"/>
  <c r="C17" i="33"/>
  <c r="B17" i="33"/>
  <c r="K18" i="33"/>
  <c r="K19" i="33" s="1"/>
  <c r="G18" i="33"/>
  <c r="G19" i="33" s="1"/>
  <c r="C18" i="33"/>
  <c r="C19" i="33" s="1"/>
  <c r="B18" i="33"/>
  <c r="B19" i="33" s="1"/>
  <c r="M11" i="33"/>
  <c r="L11" i="33"/>
  <c r="K11" i="33"/>
  <c r="J11" i="33"/>
  <c r="I11" i="33"/>
  <c r="H11" i="33"/>
  <c r="G11" i="33"/>
  <c r="L12" i="33"/>
  <c r="L13" i="33" s="1"/>
  <c r="M30" i="33" l="1"/>
  <c r="M31" i="33" s="1"/>
  <c r="M12" i="33"/>
  <c r="M13" i="33" s="1"/>
  <c r="H30" i="33"/>
  <c r="H31" i="33" s="1"/>
  <c r="J12" i="33"/>
  <c r="J13" i="33" s="1"/>
  <c r="F18" i="33"/>
  <c r="F19" i="33" s="1"/>
  <c r="E24" i="33"/>
  <c r="E25" i="33" s="1"/>
  <c r="G12" i="33"/>
  <c r="G13" i="33" s="1"/>
  <c r="K12" i="33"/>
  <c r="K13" i="33" s="1"/>
  <c r="B64" i="28"/>
  <c r="B115" i="25"/>
  <c r="B128" i="25"/>
  <c r="B12" i="28"/>
  <c r="K2" i="33" l="1"/>
  <c r="B180" i="25" s="1"/>
  <c r="B42" i="28"/>
  <c r="B67" i="25" l="1"/>
  <c r="N16" i="28" l="1"/>
  <c r="H16" i="28"/>
  <c r="B17" i="30"/>
  <c r="B9" i="30"/>
  <c r="B100" i="25" l="1"/>
  <c r="B22" i="25" l="1"/>
  <c r="B29" i="25"/>
  <c r="B136" i="25" l="1"/>
  <c r="B5" i="24"/>
  <c r="B7" i="24" s="1"/>
  <c r="B35" i="25" l="1"/>
  <c r="B172" i="25"/>
  <c r="B38" i="25" l="1"/>
  <c r="B44" i="28" l="1"/>
  <c r="B162" i="25"/>
  <c r="C69" i="25" s="1"/>
  <c r="B163" i="25" l="1"/>
  <c r="C65" i="25"/>
  <c r="C70" i="25" s="1"/>
  <c r="C66" i="25"/>
  <c r="B65" i="25"/>
  <c r="B164" i="25" l="1"/>
  <c r="D65" i="25"/>
  <c r="D69" i="25"/>
  <c r="D66" i="25"/>
  <c r="B165" i="25" l="1"/>
  <c r="E69" i="25"/>
  <c r="E66" i="25"/>
  <c r="E65" i="25"/>
  <c r="F69" i="25" l="1"/>
  <c r="F66" i="25"/>
  <c r="F65" i="25"/>
  <c r="N23" i="28" l="1"/>
  <c r="H23" i="28"/>
  <c r="B24" i="30"/>
  <c r="B23" i="28"/>
  <c r="B16" i="28"/>
  <c r="B122" i="25"/>
  <c r="B114" i="25"/>
  <c r="B130" i="25"/>
  <c r="B109" i="25"/>
  <c r="B104" i="25"/>
  <c r="C28" i="28" l="1"/>
  <c r="D28" i="28"/>
  <c r="B28" i="28"/>
  <c r="E28" i="28"/>
  <c r="B17" i="28" l="1"/>
  <c r="B29" i="30"/>
  <c r="B66" i="25"/>
  <c r="B68" i="25" l="1"/>
  <c r="B69" i="25" l="1"/>
  <c r="B145" i="25"/>
  <c r="B85" i="25" l="1"/>
  <c r="C5" i="25" l="1"/>
  <c r="B4" i="28" s="1"/>
  <c r="B18" i="24" l="1"/>
  <c r="B17" i="24"/>
  <c r="B39" i="25"/>
  <c r="B40" i="25" s="1"/>
  <c r="B46" i="25" l="1"/>
  <c r="B45" i="25"/>
  <c r="B44" i="25"/>
  <c r="B43" i="25"/>
  <c r="B42" i="25"/>
  <c r="B41" i="25"/>
  <c r="B94" i="25"/>
  <c r="B76" i="28" l="1"/>
  <c r="B24" i="24" s="1"/>
  <c r="B48" i="28"/>
  <c r="C48" i="28" s="1"/>
  <c r="B47" i="28"/>
  <c r="D47" i="28" s="1"/>
  <c r="B46" i="28"/>
  <c r="D46" i="28" s="1"/>
  <c r="B61" i="28"/>
  <c r="N3" i="28"/>
  <c r="B60" i="28"/>
  <c r="H3" i="28"/>
  <c r="B3" i="28"/>
  <c r="B43" i="28"/>
  <c r="B69" i="28" s="1"/>
  <c r="B65" i="28"/>
  <c r="B73" i="28"/>
  <c r="H22" i="28"/>
  <c r="D70" i="25"/>
  <c r="E70" i="25"/>
  <c r="F70" i="25"/>
  <c r="C6" i="24" l="1"/>
  <c r="H12" i="28"/>
  <c r="H20" i="28"/>
  <c r="H19" i="28"/>
  <c r="B77" i="28"/>
  <c r="B45" i="28"/>
  <c r="C46" i="28"/>
  <c r="E46" i="28"/>
  <c r="C47" i="28"/>
  <c r="E47" i="28"/>
  <c r="B41" i="28"/>
  <c r="E6" i="24" l="1"/>
  <c r="H18" i="28"/>
  <c r="H13" i="28"/>
  <c r="H15" i="28"/>
  <c r="H14" i="28"/>
  <c r="C45" i="28"/>
  <c r="D48" i="28"/>
  <c r="D45" i="28" s="1"/>
  <c r="E48" i="28"/>
  <c r="E45" i="28" s="1"/>
  <c r="B25" i="24" l="1"/>
  <c r="B125" i="25" l="1"/>
  <c r="B118" i="25"/>
  <c r="B59" i="25"/>
  <c r="B47" i="25"/>
  <c r="F8" i="25" l="1"/>
  <c r="E5" i="30" s="1"/>
  <c r="E8" i="25"/>
  <c r="D5" i="30" s="1"/>
  <c r="D8" i="25"/>
  <c r="C5" i="30" s="1"/>
  <c r="C8" i="25"/>
  <c r="B5" i="30" s="1"/>
  <c r="B10" i="30" s="1"/>
  <c r="B8" i="25"/>
  <c r="D5" i="25"/>
  <c r="E5" i="25"/>
  <c r="F5" i="25"/>
  <c r="B134" i="25"/>
  <c r="B132" i="25"/>
  <c r="N28" i="28" s="1"/>
  <c r="H28" i="28"/>
  <c r="H17" i="28" s="1"/>
  <c r="B35" i="30"/>
  <c r="C35" i="30" s="1"/>
  <c r="B34" i="30"/>
  <c r="E34" i="30" s="1"/>
  <c r="D17" i="30"/>
  <c r="B13" i="24"/>
  <c r="C10" i="30" l="1"/>
  <c r="D10" i="30" s="1"/>
  <c r="B3" i="30"/>
  <c r="D29" i="30"/>
  <c r="D18" i="30" s="1"/>
  <c r="E29" i="30"/>
  <c r="C29" i="30"/>
  <c r="B14" i="24"/>
  <c r="D3" i="30"/>
  <c r="C3" i="30"/>
  <c r="E3" i="30"/>
  <c r="D35" i="30"/>
  <c r="C34" i="30"/>
  <c r="E35" i="30"/>
  <c r="B18" i="30"/>
  <c r="C17" i="30"/>
  <c r="E17" i="30"/>
  <c r="D34" i="30"/>
  <c r="C18" i="30" l="1"/>
  <c r="E18" i="30"/>
  <c r="E16" i="28"/>
  <c r="B70" i="25"/>
  <c r="D22" i="28" l="1"/>
  <c r="D23" i="30"/>
  <c r="C22" i="28"/>
  <c r="C23" i="30"/>
  <c r="B22" i="28"/>
  <c r="B19" i="28" s="1"/>
  <c r="B23" i="30"/>
  <c r="E22" i="28"/>
  <c r="E23" i="30"/>
  <c r="E17" i="28"/>
  <c r="D16" i="28"/>
  <c r="D17" i="28" s="1"/>
  <c r="C16" i="28"/>
  <c r="C17" i="28" s="1"/>
  <c r="B34" i="28"/>
  <c r="D34" i="28" s="1"/>
  <c r="H34" i="28"/>
  <c r="I34" i="28" s="1"/>
  <c r="N34" i="28"/>
  <c r="P34" i="28" s="1"/>
  <c r="B33" i="28"/>
  <c r="D33" i="28" s="1"/>
  <c r="H33" i="28"/>
  <c r="I33" i="28" s="1"/>
  <c r="N33" i="28"/>
  <c r="P33" i="28" s="1"/>
  <c r="O28" i="28"/>
  <c r="P3" i="28"/>
  <c r="Q3" i="28"/>
  <c r="O3" i="28"/>
  <c r="I28" i="28"/>
  <c r="K16" i="28"/>
  <c r="O16" i="28"/>
  <c r="O22" i="28"/>
  <c r="P22" i="28"/>
  <c r="Q22" i="28"/>
  <c r="N22" i="28"/>
  <c r="I22" i="28"/>
  <c r="I12" i="28" s="1"/>
  <c r="J22" i="28"/>
  <c r="K22" i="28"/>
  <c r="B21" i="30" l="1"/>
  <c r="C21" i="30" s="1"/>
  <c r="D21" i="30" s="1"/>
  <c r="E21" i="30" s="1"/>
  <c r="B20" i="30"/>
  <c r="N19" i="28"/>
  <c r="N20" i="28"/>
  <c r="O20" i="28" s="1"/>
  <c r="P20" i="28" s="1"/>
  <c r="Q20" i="28" s="1"/>
  <c r="N12" i="28"/>
  <c r="B20" i="28"/>
  <c r="B13" i="30"/>
  <c r="B14" i="30" s="1"/>
  <c r="H11" i="28"/>
  <c r="H24" i="28"/>
  <c r="K34" i="28"/>
  <c r="J34" i="28"/>
  <c r="I16" i="28"/>
  <c r="I17" i="28" s="1"/>
  <c r="E33" i="28"/>
  <c r="J28" i="28"/>
  <c r="C33" i="28"/>
  <c r="Q28" i="28"/>
  <c r="N17" i="28"/>
  <c r="P28" i="28"/>
  <c r="K28" i="28"/>
  <c r="K17" i="28" s="1"/>
  <c r="O33" i="28"/>
  <c r="J16" i="28"/>
  <c r="Q16" i="28"/>
  <c r="Q33" i="28"/>
  <c r="O34" i="28"/>
  <c r="C34" i="28"/>
  <c r="P16" i="28"/>
  <c r="Q34" i="28"/>
  <c r="E34" i="28"/>
  <c r="I20" i="28"/>
  <c r="J20" i="28" s="1"/>
  <c r="K20" i="28" s="1"/>
  <c r="O17" i="28"/>
  <c r="K33" i="28"/>
  <c r="J33" i="28"/>
  <c r="C3" i="28"/>
  <c r="D3" i="28"/>
  <c r="E3" i="28"/>
  <c r="B13" i="28" l="1"/>
  <c r="C20" i="28"/>
  <c r="D20" i="28" s="1"/>
  <c r="E20" i="28" s="1"/>
  <c r="B11" i="28"/>
  <c r="C12" i="28"/>
  <c r="C11" i="28" s="1"/>
  <c r="B14" i="28"/>
  <c r="B18" i="28"/>
  <c r="B15" i="28"/>
  <c r="B24" i="28"/>
  <c r="C23" i="28" s="1"/>
  <c r="N14" i="28"/>
  <c r="N13" i="28"/>
  <c r="N18" i="28"/>
  <c r="N15" i="28"/>
  <c r="O12" i="28"/>
  <c r="P12" i="28" s="1"/>
  <c r="B19" i="30"/>
  <c r="B16" i="30"/>
  <c r="B15" i="30"/>
  <c r="C13" i="30"/>
  <c r="B12" i="30"/>
  <c r="B25" i="30"/>
  <c r="C24" i="30" s="1"/>
  <c r="I23" i="28"/>
  <c r="H25" i="28"/>
  <c r="H27" i="28" s="1"/>
  <c r="I13" i="28"/>
  <c r="I15" i="28"/>
  <c r="I11" i="28"/>
  <c r="I14" i="28"/>
  <c r="N11" i="28"/>
  <c r="J12" i="28"/>
  <c r="I24" i="28"/>
  <c r="N24" i="28"/>
  <c r="O23" i="28" s="1"/>
  <c r="J17" i="28"/>
  <c r="I18" i="28"/>
  <c r="Q17" i="28"/>
  <c r="P17" i="28"/>
  <c r="I4" i="28"/>
  <c r="J4" i="28"/>
  <c r="K4" i="28"/>
  <c r="H4" i="28"/>
  <c r="H5" i="28" s="1"/>
  <c r="B153" i="25"/>
  <c r="O4" i="28"/>
  <c r="P4" i="28"/>
  <c r="Q4" i="28"/>
  <c r="N4" i="28"/>
  <c r="N5" i="28" s="1"/>
  <c r="C24" i="28" l="1"/>
  <c r="D23" i="28" s="1"/>
  <c r="H9" i="28"/>
  <c r="H35" i="28"/>
  <c r="H8" i="28"/>
  <c r="H21" i="28"/>
  <c r="H26" i="28" s="1"/>
  <c r="I5" i="28"/>
  <c r="J5" i="28" s="1"/>
  <c r="K5" i="28" s="1"/>
  <c r="H10" i="28"/>
  <c r="N10" i="28"/>
  <c r="O10" i="28" s="1"/>
  <c r="P10" i="28" s="1"/>
  <c r="Q10" i="28" s="1"/>
  <c r="N35" i="28"/>
  <c r="B16" i="24" s="1"/>
  <c r="B20" i="24" s="1"/>
  <c r="N9" i="28"/>
  <c r="O9" i="28" s="1"/>
  <c r="P9" i="28" s="1"/>
  <c r="Q9" i="28" s="1"/>
  <c r="N21" i="28"/>
  <c r="N8" i="28"/>
  <c r="O5" i="28"/>
  <c r="P5" i="28" s="1"/>
  <c r="B25" i="28"/>
  <c r="B27" i="28" s="1"/>
  <c r="C19" i="30"/>
  <c r="C18" i="28"/>
  <c r="O13" i="28"/>
  <c r="P13" i="28" s="1"/>
  <c r="O18" i="28"/>
  <c r="P18" i="28" s="1"/>
  <c r="O24" i="28"/>
  <c r="P23" i="28" s="1"/>
  <c r="O11" i="28"/>
  <c r="O14" i="28"/>
  <c r="P14" i="28" s="1"/>
  <c r="C14" i="28"/>
  <c r="O15" i="28"/>
  <c r="P15" i="28" s="1"/>
  <c r="D12" i="28"/>
  <c r="E12" i="28" s="1"/>
  <c r="C13" i="28"/>
  <c r="C15" i="28"/>
  <c r="O8" i="28"/>
  <c r="J18" i="28"/>
  <c r="C15" i="30"/>
  <c r="B26" i="30"/>
  <c r="B28" i="30" s="1"/>
  <c r="C16" i="30"/>
  <c r="C14" i="30"/>
  <c r="J14" i="28"/>
  <c r="C25" i="30"/>
  <c r="D24" i="30" s="1"/>
  <c r="D13" i="30"/>
  <c r="C12" i="30"/>
  <c r="J13" i="28"/>
  <c r="N25" i="28"/>
  <c r="N27" i="28" s="1"/>
  <c r="J11" i="28"/>
  <c r="I25" i="28"/>
  <c r="I27" i="28" s="1"/>
  <c r="J15" i="28"/>
  <c r="J23" i="28"/>
  <c r="P11" i="28"/>
  <c r="K12" i="28"/>
  <c r="J24" i="28"/>
  <c r="Q12" i="28"/>
  <c r="P24" i="28"/>
  <c r="E4" i="28"/>
  <c r="D4" i="28"/>
  <c r="C4" i="28"/>
  <c r="O25" i="28" l="1"/>
  <c r="O27" i="28" s="1"/>
  <c r="C25" i="28"/>
  <c r="C27" i="28" s="1"/>
  <c r="D18" i="28"/>
  <c r="E18" i="28" s="1"/>
  <c r="D13" i="28"/>
  <c r="E13" i="28" s="1"/>
  <c r="D24" i="28"/>
  <c r="E23" i="28" s="1"/>
  <c r="N6" i="28"/>
  <c r="D14" i="28"/>
  <c r="E14" i="28" s="1"/>
  <c r="D11" i="28"/>
  <c r="D15" i="28"/>
  <c r="O35" i="28"/>
  <c r="P35" i="28" s="1"/>
  <c r="D16" i="30"/>
  <c r="C52" i="28"/>
  <c r="C51" i="28"/>
  <c r="C50" i="28"/>
  <c r="D50" i="28"/>
  <c r="D51" i="28"/>
  <c r="D52" i="28"/>
  <c r="B51" i="28"/>
  <c r="B50" i="28"/>
  <c r="B52" i="28"/>
  <c r="E51" i="28"/>
  <c r="E50" i="28"/>
  <c r="E52" i="28"/>
  <c r="C4" i="30"/>
  <c r="E4" i="30"/>
  <c r="D4" i="30"/>
  <c r="B4" i="30"/>
  <c r="K14" i="28"/>
  <c r="C26" i="30"/>
  <c r="C28" i="30" s="1"/>
  <c r="D12" i="30"/>
  <c r="D25" i="30"/>
  <c r="E24" i="30" s="1"/>
  <c r="E13" i="30"/>
  <c r="E25" i="30" s="1"/>
  <c r="D14" i="30"/>
  <c r="D19" i="30"/>
  <c r="D15" i="30"/>
  <c r="J25" i="28"/>
  <c r="J27" i="28" s="1"/>
  <c r="K23" i="28"/>
  <c r="K15" i="28"/>
  <c r="K13" i="28"/>
  <c r="E24" i="28"/>
  <c r="E11" i="28"/>
  <c r="O21" i="28"/>
  <c r="N26" i="28"/>
  <c r="Q24" i="28"/>
  <c r="Q11" i="28"/>
  <c r="P25" i="28"/>
  <c r="P27" i="28" s="1"/>
  <c r="K24" i="28"/>
  <c r="K11" i="28"/>
  <c r="K18" i="28"/>
  <c r="Q23" i="28"/>
  <c r="Q13" i="28"/>
  <c r="Q15" i="28"/>
  <c r="Q14" i="28"/>
  <c r="Q18" i="28"/>
  <c r="O6" i="28"/>
  <c r="P6" i="28"/>
  <c r="Q5" i="28"/>
  <c r="Q6" i="28" s="1"/>
  <c r="N7" i="28"/>
  <c r="B74" i="28" l="1"/>
  <c r="D25" i="28"/>
  <c r="D27" i="28" s="1"/>
  <c r="E15" i="28"/>
  <c r="B68" i="28"/>
  <c r="B70" i="28" s="1"/>
  <c r="B49" i="28"/>
  <c r="D49" i="28"/>
  <c r="E49" i="28"/>
  <c r="C49" i="28"/>
  <c r="E15" i="30"/>
  <c r="E19" i="30"/>
  <c r="E12" i="30"/>
  <c r="E16" i="30"/>
  <c r="E14" i="30"/>
  <c r="D26" i="30"/>
  <c r="D28" i="30" s="1"/>
  <c r="Q25" i="28"/>
  <c r="Q27" i="28" s="1"/>
  <c r="E25" i="28"/>
  <c r="E27" i="28" s="1"/>
  <c r="K25" i="28"/>
  <c r="K27" i="28" s="1"/>
  <c r="P21" i="28"/>
  <c r="O26" i="28"/>
  <c r="Q35" i="28"/>
  <c r="O7" i="28"/>
  <c r="P8" i="28"/>
  <c r="B23" i="24"/>
  <c r="E26" i="30" l="1"/>
  <c r="E28" i="30" s="1"/>
  <c r="Q21" i="28"/>
  <c r="Q26" i="28" s="1"/>
  <c r="P26" i="28"/>
  <c r="Q8" i="28"/>
  <c r="Q7" i="28" s="1"/>
  <c r="P7" i="28"/>
  <c r="B12" i="24" l="1"/>
  <c r="I3" i="28"/>
  <c r="I6" i="28" s="1"/>
  <c r="H6" i="28"/>
  <c r="K3" i="28"/>
  <c r="K6" i="28" s="1"/>
  <c r="J3" i="28"/>
  <c r="J6" i="28" s="1"/>
  <c r="I10" i="28" l="1"/>
  <c r="J10" i="28" s="1"/>
  <c r="K10" i="28" s="1"/>
  <c r="I9" i="28"/>
  <c r="J9" i="28" s="1"/>
  <c r="K9" i="28" s="1"/>
  <c r="I35" i="28"/>
  <c r="J35" i="28" s="1"/>
  <c r="K35" i="28" s="1"/>
  <c r="B15" i="24"/>
  <c r="B21" i="24" s="1"/>
  <c r="B5" i="25"/>
  <c r="B8" i="28" l="1"/>
  <c r="B5" i="28"/>
  <c r="B21" i="28"/>
  <c r="B26" i="28" s="1"/>
  <c r="B10" i="28"/>
  <c r="C10" i="28" s="1"/>
  <c r="D10" i="28" s="1"/>
  <c r="E10" i="28" s="1"/>
  <c r="B35" i="28"/>
  <c r="C35" i="28" s="1"/>
  <c r="B9" i="28"/>
  <c r="B22" i="30"/>
  <c r="C22" i="30" s="1"/>
  <c r="B36" i="30"/>
  <c r="C36" i="30" s="1"/>
  <c r="D36" i="30" s="1"/>
  <c r="E36" i="30" s="1"/>
  <c r="B11" i="30"/>
  <c r="C11" i="30" s="1"/>
  <c r="B26" i="24"/>
  <c r="C5" i="24"/>
  <c r="E10" i="30"/>
  <c r="I21" i="28"/>
  <c r="I26" i="28" s="1"/>
  <c r="H7" i="28"/>
  <c r="D35" i="28"/>
  <c r="E35" i="28" s="1"/>
  <c r="B19" i="24"/>
  <c r="I8" i="28"/>
  <c r="C9" i="28"/>
  <c r="D9" i="28" s="1"/>
  <c r="E9" i="28" s="1"/>
  <c r="B6" i="28" l="1"/>
  <c r="B6" i="30"/>
  <c r="C5" i="28"/>
  <c r="B7" i="28"/>
  <c r="C8" i="28"/>
  <c r="C7" i="24"/>
  <c r="D7" i="24" s="1"/>
  <c r="E5" i="24"/>
  <c r="E7" i="24" s="1"/>
  <c r="C26" i="24"/>
  <c r="C24" i="24"/>
  <c r="C14" i="24"/>
  <c r="C21" i="24"/>
  <c r="J21" i="28"/>
  <c r="J26" i="28" s="1"/>
  <c r="B8" i="30"/>
  <c r="E9" i="30"/>
  <c r="C9" i="30"/>
  <c r="C8" i="30" s="1"/>
  <c r="D9" i="30"/>
  <c r="C21" i="28"/>
  <c r="B22" i="24"/>
  <c r="D11" i="30"/>
  <c r="B27" i="30"/>
  <c r="J8" i="28"/>
  <c r="I7" i="28"/>
  <c r="D5" i="28" l="1"/>
  <c r="C6" i="28"/>
  <c r="C6" i="30"/>
  <c r="B7" i="30"/>
  <c r="K21" i="28"/>
  <c r="K26" i="28" s="1"/>
  <c r="D21" i="28"/>
  <c r="C26" i="28"/>
  <c r="D8" i="30"/>
  <c r="E11" i="30"/>
  <c r="E8" i="30" s="1"/>
  <c r="D8" i="28"/>
  <c r="C7" i="28"/>
  <c r="C27" i="30"/>
  <c r="D22" i="30"/>
  <c r="K8" i="28"/>
  <c r="K7" i="28" s="1"/>
  <c r="J7" i="28"/>
  <c r="D6" i="30" l="1"/>
  <c r="C7" i="30"/>
  <c r="E5" i="28"/>
  <c r="E6" i="28" s="1"/>
  <c r="D6" i="28"/>
  <c r="E21" i="28"/>
  <c r="E26" i="28" s="1"/>
  <c r="D26" i="28"/>
  <c r="E8" i="28"/>
  <c r="E7" i="28" s="1"/>
  <c r="D7" i="28"/>
  <c r="E22" i="30"/>
  <c r="E27" i="30" s="1"/>
  <c r="D27" i="30"/>
  <c r="E6" i="30" l="1"/>
  <c r="E7" i="30" s="1"/>
  <c r="D7" i="30"/>
  <c r="N43" i="28"/>
  <c r="B66" i="28"/>
  <c r="H43" i="28"/>
  <c r="B57" i="28"/>
  <c r="B77" i="25"/>
  <c r="C30" i="28" s="1"/>
  <c r="C29" i="28" s="1"/>
  <c r="B42" i="30" l="1"/>
  <c r="I30" i="28"/>
  <c r="I29" i="28" s="1"/>
  <c r="I32" i="28" s="1"/>
  <c r="I31" i="28" s="1"/>
  <c r="I36" i="28" s="1"/>
  <c r="P30" i="28"/>
  <c r="P29" i="28" s="1"/>
  <c r="P32" i="28" s="1"/>
  <c r="P31" i="28" s="1"/>
  <c r="P36" i="28" s="1"/>
  <c r="O30" i="28"/>
  <c r="O29" i="28" s="1"/>
  <c r="O32" i="28" s="1"/>
  <c r="O31" i="28" s="1"/>
  <c r="O36" i="28" s="1"/>
  <c r="J30" i="28"/>
  <c r="J29" i="28" s="1"/>
  <c r="J32" i="28" s="1"/>
  <c r="J31" i="28" s="1"/>
  <c r="J36" i="28" s="1"/>
  <c r="C31" i="30"/>
  <c r="C30" i="30" s="1"/>
  <c r="C33" i="30" s="1"/>
  <c r="C32" i="30" s="1"/>
  <c r="C37" i="30" s="1"/>
  <c r="C32" i="28"/>
  <c r="C31" i="28" s="1"/>
  <c r="C36" i="28" s="1"/>
  <c r="B31" i="30"/>
  <c r="B30" i="30" s="1"/>
  <c r="H30" i="28"/>
  <c r="H29" i="28" s="1"/>
  <c r="H32" i="28" s="1"/>
  <c r="H31" i="28" s="1"/>
  <c r="E31" i="30"/>
  <c r="E30" i="30" s="1"/>
  <c r="E30" i="28"/>
  <c r="E29" i="28" s="1"/>
  <c r="B30" i="28"/>
  <c r="B29" i="28" s="1"/>
  <c r="B32" i="28" s="1"/>
  <c r="B31" i="28" s="1"/>
  <c r="N30" i="28"/>
  <c r="N29" i="28" s="1"/>
  <c r="N32" i="28" s="1"/>
  <c r="N31" i="28" s="1"/>
  <c r="D31" i="30"/>
  <c r="D30" i="30" s="1"/>
  <c r="K30" i="28"/>
  <c r="K29" i="28" s="1"/>
  <c r="Q30" i="28"/>
  <c r="Q29" i="28" s="1"/>
  <c r="D30" i="28"/>
  <c r="D29" i="28" s="1"/>
  <c r="D32" i="28" l="1"/>
  <c r="D31" i="28" s="1"/>
  <c r="D36" i="28" s="1"/>
  <c r="E32" i="28"/>
  <c r="E31" i="28" s="1"/>
  <c r="E36" i="28" s="1"/>
  <c r="H36" i="28"/>
  <c r="Q32" i="28"/>
  <c r="Q31" i="28" s="1"/>
  <c r="Q36" i="28" s="1"/>
  <c r="D33" i="30"/>
  <c r="D32" i="30" s="1"/>
  <c r="D37" i="30" s="1"/>
  <c r="K32" i="28"/>
  <c r="K31" i="28" s="1"/>
  <c r="K36" i="28" s="1"/>
  <c r="B33" i="30"/>
  <c r="B32" i="30" s="1"/>
  <c r="B37" i="30" s="1"/>
  <c r="N36" i="28"/>
  <c r="E33" i="30"/>
  <c r="E32" i="30" s="1"/>
  <c r="E37" i="30" s="1"/>
  <c r="B36" i="28"/>
  <c r="B58" i="28" l="1"/>
  <c r="B59" i="28" s="1"/>
  <c r="N44" i="28"/>
  <c r="N45" i="28" s="1"/>
  <c r="H44" i="28"/>
  <c r="H45" i="28" s="1"/>
  <c r="B43" i="30"/>
  <c r="B81" i="28" l="1"/>
  <c r="B50" i="30"/>
  <c r="B51" i="30"/>
  <c r="B44" i="30"/>
  <c r="B52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Luciano Ricardo Menegazzo</author>
  </authors>
  <commentList>
    <comment ref="B172" authorId="0" shapeId="0" xr:uid="{71F43CEB-6DFB-4B66-8A0A-73FE73D19E24}">
      <text>
        <r>
          <rPr>
            <b/>
            <sz val="9"/>
            <color indexed="81"/>
            <rFont val="Segoe UI"/>
            <family val="2"/>
          </rPr>
          <t>Energia: -7.637.506 (inclui locação de ativos para geração de energia-conforme 15.068.141-3)
Químicos: 40.924.631
Encargos: 13.628.763</t>
        </r>
      </text>
    </comment>
  </commentList>
</comments>
</file>

<file path=xl/sharedStrings.xml><?xml version="1.0" encoding="utf-8"?>
<sst xmlns="http://schemas.openxmlformats.org/spreadsheetml/2006/main" count="530" uniqueCount="319">
  <si>
    <t>Resultados - Abas com nome iniciando com R-</t>
  </si>
  <si>
    <t>Aba</t>
  </si>
  <si>
    <t>Insumos/Base de dados - Abas com o nome iniciando com I-</t>
  </si>
  <si>
    <t>Auxílio/Cálculos Intermediários - Insumos que receberam algum tratamento, ou cálculos necessários para se atingir o resultado final - Abas com nome iniciando com A-</t>
  </si>
  <si>
    <t>Insumos</t>
  </si>
  <si>
    <t>Auxílio/Cálculos Intermediários</t>
  </si>
  <si>
    <t>Resultados</t>
  </si>
  <si>
    <t>1-Contexto e Objetivo da Planilha</t>
  </si>
  <si>
    <t>2-Tipos de Abas</t>
  </si>
  <si>
    <t>3-Conteúdo das Abas</t>
  </si>
  <si>
    <t>Descrição</t>
  </si>
  <si>
    <t>4-Fluxo de informação entre Abas da Planilha</t>
  </si>
  <si>
    <t>Outras Receitas</t>
  </si>
  <si>
    <t>Tarifa P0 Água+Esgoto (TB)</t>
  </si>
  <si>
    <t>Tarifa Parcela A (TA)</t>
  </si>
  <si>
    <t>Tarifa Média (Água)</t>
  </si>
  <si>
    <t>Tarifa Média (Esgoto)</t>
  </si>
  <si>
    <t>Tarifa Média (TA+TB)</t>
  </si>
  <si>
    <t>P0 (Tarifa B)</t>
  </si>
  <si>
    <t>Custo Operacional</t>
  </si>
  <si>
    <t>I-Dados</t>
  </si>
  <si>
    <t>A-Tarifa-P0</t>
  </si>
  <si>
    <t>R_TarifaRTP-2021</t>
  </si>
  <si>
    <t>Informações contábeis, projeções e investimentos, obtidos da SANEPAR. Resultado do cálculo das demais Notas Técnicas</t>
  </si>
  <si>
    <t>Cálculo da tarifa média econômica P0</t>
  </si>
  <si>
    <t>Cálculo do Fator-X, que trata-se de um percentual de compartilhamento dos ganhos de escala</t>
  </si>
  <si>
    <t>Apresenta o cálculo da Tarifa Média para o ciclo tarifário de 2021 a 2024</t>
  </si>
  <si>
    <t>2ª RTP - 2021</t>
  </si>
  <si>
    <t>Tarifa P0 (Água)</t>
  </si>
  <si>
    <t>Tarifa P0 (Esgoto)</t>
  </si>
  <si>
    <t>Componente da Tarifa</t>
  </si>
  <si>
    <t xml:space="preserve">      VPA (Água)</t>
  </si>
  <si>
    <t xml:space="preserve">      VPA (Esgoto)</t>
  </si>
  <si>
    <t xml:space="preserve">      Mercado de Referência (Água m³)</t>
  </si>
  <si>
    <t xml:space="preserve">      Mercado de Referência (Esgoto m³)</t>
  </si>
  <si>
    <t xml:space="preserve">   Tarifa Parcela A (Água)</t>
  </si>
  <si>
    <t xml:space="preserve">   Tarifa Parcela A (Esgoto)</t>
  </si>
  <si>
    <t>Resultado 2ª RTP - 2021-2024</t>
  </si>
  <si>
    <t>Verificação:</t>
  </si>
  <si>
    <t>BRR Bruta</t>
  </si>
  <si>
    <t>BRR (QRR)</t>
  </si>
  <si>
    <t>BRR Líquida</t>
  </si>
  <si>
    <t>Quota de Reintegração Regulatória</t>
  </si>
  <si>
    <t>Receitas Irrecuperáveis</t>
  </si>
  <si>
    <t>VPL Receita</t>
  </si>
  <si>
    <t>VPL Despesa</t>
  </si>
  <si>
    <t>Diferença</t>
  </si>
  <si>
    <t>Remuneração de Capital Bruta</t>
  </si>
  <si>
    <t>Mercado (m³)</t>
  </si>
  <si>
    <t xml:space="preserve">   Custo Administrativo</t>
  </si>
  <si>
    <t xml:space="preserve">   Custo Comercial</t>
  </si>
  <si>
    <t xml:space="preserve">   Custo O&amp;M</t>
  </si>
  <si>
    <t xml:space="preserve">   Ativos Imobilizados</t>
  </si>
  <si>
    <t xml:space="preserve">      Terrenos</t>
  </si>
  <si>
    <t xml:space="preserve">      Reserva Operacional Móvel</t>
  </si>
  <si>
    <t xml:space="preserve">   Obras em Andamento</t>
  </si>
  <si>
    <t xml:space="preserve">   Ativos Imobilizados a Serem Incorporados</t>
  </si>
  <si>
    <t xml:space="preserve">   Capital de Giro</t>
  </si>
  <si>
    <t xml:space="preserve">   Investimento</t>
  </si>
  <si>
    <t xml:space="preserve">      Depreciação Acumulada</t>
  </si>
  <si>
    <t xml:space="preserve">         Depreciação Anual</t>
  </si>
  <si>
    <t xml:space="preserve">   Taxa de depreciação</t>
  </si>
  <si>
    <t xml:space="preserve">   WACC Bruto (Imposto de Renda)</t>
  </si>
  <si>
    <t xml:space="preserve">   Base Cálculo Receitas Irrecuperáveis</t>
  </si>
  <si>
    <t xml:space="preserve">      Taxa de Inadimplência</t>
  </si>
  <si>
    <t xml:space="preserve">      % PASEP/COFINS (alíquotas efetivas)</t>
  </si>
  <si>
    <t xml:space="preserve">      VPA</t>
  </si>
  <si>
    <t>Valor</t>
  </si>
  <si>
    <t>Tabela - Componentes do Cálculo da Tarifa Econômica Média (Água e Esgoto)</t>
  </si>
  <si>
    <t xml:space="preserve">      Não Onerosos Brutos</t>
  </si>
  <si>
    <t>Tabela - Cálculo da Tarifa Média Econômica P0</t>
  </si>
  <si>
    <t>Cálculo da Tarifa Média P0</t>
  </si>
  <si>
    <t>Fonte: Dados SANEPAR (2020). Elaboração: AGEPAR (2020)</t>
  </si>
  <si>
    <t>Tarifa P0 Água</t>
  </si>
  <si>
    <t>Tarifa P0 Esgoto</t>
  </si>
  <si>
    <t>Tabela - Componentes do Cálculo da Tarifa Econômica (Água)</t>
  </si>
  <si>
    <t>Componente de Cálculo da Tarifa Média P0</t>
  </si>
  <si>
    <t>Componente de Cálculo da Tarifa Média P0 - Água</t>
  </si>
  <si>
    <t>Receita - Água</t>
  </si>
  <si>
    <t>Despesa - Água</t>
  </si>
  <si>
    <t>Tabela - Cálculo da Tarifa Econômica P0 - Água</t>
  </si>
  <si>
    <t>Cálculo da Tarifa Média P0 - Água</t>
  </si>
  <si>
    <t>Tabela - Componentes do Cálculo da Tarifa Econômica (Esgoto)</t>
  </si>
  <si>
    <t>Componente de Cálculo da Tarifa Média P0 - Esgoto</t>
  </si>
  <si>
    <t>Receita - Esgoto</t>
  </si>
  <si>
    <t>Despesa - Esgoto</t>
  </si>
  <si>
    <t>Tabela - Cálculo da Tarifa Econômica P0 - Esgoto</t>
  </si>
  <si>
    <t>Cálculo da Tarifa Média P0 - Esgoto</t>
  </si>
  <si>
    <t>Receita - Água e Esgoto</t>
  </si>
  <si>
    <t>Despesa - Água e Esgoto</t>
  </si>
  <si>
    <t>Tabela - Dados de Mercado</t>
  </si>
  <si>
    <t>Volume faturado de água (m3)</t>
  </si>
  <si>
    <t>Volume faturado de esgoto (m3)</t>
  </si>
  <si>
    <t>Total de Volume Faturado (m3)</t>
  </si>
  <si>
    <t>Ligações de água (unidades)</t>
  </si>
  <si>
    <t>Ligações de esgoto (unidades)</t>
  </si>
  <si>
    <t>Total de Ligações (unidades)</t>
  </si>
  <si>
    <t>Tabela - Custos Operacionais</t>
  </si>
  <si>
    <t>Custo de Pessoal (Água)</t>
  </si>
  <si>
    <t>Custo de Pessoal (Esgoto)</t>
  </si>
  <si>
    <t>Custo de Materiais (Água)</t>
  </si>
  <si>
    <t>Custo de Materiais (Esgoto)</t>
  </si>
  <si>
    <t>Custo de Serviços de Terceiros (Água)</t>
  </si>
  <si>
    <t>Custo de Serviços de Terceiros (Esgoto)</t>
  </si>
  <si>
    <t>Outros Custos (Água)</t>
  </si>
  <si>
    <t>Outros Custos (Esgoto)</t>
  </si>
  <si>
    <t>Custo Operacional Anual (R$)</t>
  </si>
  <si>
    <t>Custo Administração (Água)</t>
  </si>
  <si>
    <t>Custo Administração (Esgoto)</t>
  </si>
  <si>
    <t>Gestão Comercial (Água)</t>
  </si>
  <si>
    <t>Gestão Comercial (Esgoto)</t>
  </si>
  <si>
    <t>Custo O&amp;M (Água)</t>
  </si>
  <si>
    <t>Custo O&amp;M (Esgoto)</t>
  </si>
  <si>
    <t>Item</t>
  </si>
  <si>
    <t>PARCELA A</t>
  </si>
  <si>
    <t>Parcela A (Encargos Água)</t>
  </si>
  <si>
    <t>Parcela A (Energia Elétrica Água)</t>
  </si>
  <si>
    <t>Parcela A (Químicos Água)</t>
  </si>
  <si>
    <t>Parcela A (Encargos Esgoto)</t>
  </si>
  <si>
    <t>Parcela A (Energia Elétrica Esgoto)</t>
  </si>
  <si>
    <t>Parcela A (Quimicos Esgoto)</t>
  </si>
  <si>
    <t>Parcela A (R$)</t>
  </si>
  <si>
    <t>RECEITAS (sem PIS/COFINS)</t>
  </si>
  <si>
    <t>Receitas de Serviços (Água)</t>
  </si>
  <si>
    <t>Receitas de Serviços (Esgoto)</t>
  </si>
  <si>
    <t>Serviços Prestados a Prefeituras (Água)</t>
  </si>
  <si>
    <t>Serviços Prestados a Prefeituras (Esgoto)</t>
  </si>
  <si>
    <t>Outras Receitas Operacionais (Água)</t>
  </si>
  <si>
    <t>Outras Receitas Operacionais (Esgoto)</t>
  </si>
  <si>
    <t>Outras Receitas (R$)</t>
  </si>
  <si>
    <t>Investimentos (Água)</t>
  </si>
  <si>
    <t>Investimentos (Esgoto)</t>
  </si>
  <si>
    <t>Adm e Outros (Água)</t>
  </si>
  <si>
    <t>Adm e Outros (Esgoto)</t>
  </si>
  <si>
    <t>Total Investimentos (R$)</t>
  </si>
  <si>
    <t>Custo de Capital</t>
  </si>
  <si>
    <t>WACC</t>
  </si>
  <si>
    <t>WACC Bruto (Imposto de Renda)</t>
  </si>
  <si>
    <t>% PASEP/COFINS (alíquotas efetivas)</t>
  </si>
  <si>
    <t>Taxa de inadimplência (%) - Água</t>
  </si>
  <si>
    <t>Taxa de inadimplência (%) - Esgoto</t>
  </si>
  <si>
    <t>Taxa de inadimplência (%) - Água+Esgoto</t>
  </si>
  <si>
    <t>Onerosos (Água)</t>
  </si>
  <si>
    <t>Não Onerosos (Água)</t>
  </si>
  <si>
    <t>Onerosos (Esgoto)</t>
  </si>
  <si>
    <t>Não Onerosos (Esgoto)</t>
  </si>
  <si>
    <t>Terrenos (Água)</t>
  </si>
  <si>
    <t>Terrenos (Esgoto)</t>
  </si>
  <si>
    <t>Reserva Operacional Móvel (Água)</t>
  </si>
  <si>
    <t>Reserva Operacional Móvel (Esgoto)</t>
  </si>
  <si>
    <t>Ativos Imobilizados (R$)</t>
  </si>
  <si>
    <t>Depreciação da BRR inicial (Água)</t>
  </si>
  <si>
    <t>Depreciação da BRR inicial (Esgoto)</t>
  </si>
  <si>
    <t>Depreciação Acumulada (R$)</t>
  </si>
  <si>
    <t>Obras em Andamento (Água)</t>
  </si>
  <si>
    <t>Obras em Andamento (Esgoto)</t>
  </si>
  <si>
    <t>Obras em Andamento (R$)</t>
  </si>
  <si>
    <t>Ativos Imobilizados a Serem Incorporados (Água)</t>
  </si>
  <si>
    <t>Ativos Imobilizados a Serem Incorporados (Esgoto)</t>
  </si>
  <si>
    <t>Capital de Giro (Água)</t>
  </si>
  <si>
    <t>Capital de Giro (Esgoto)</t>
  </si>
  <si>
    <t>Capital de Giro (R$)</t>
  </si>
  <si>
    <t>Vida Útil, anos (Água)</t>
  </si>
  <si>
    <t>Taxa de Depreciação (Água)</t>
  </si>
  <si>
    <t>Vida Útil, anos (Esgoto)</t>
  </si>
  <si>
    <t>Taxa de Depreciação (Esgoto)</t>
  </si>
  <si>
    <t>Vida Útil, anos (Água+Esgoto)</t>
  </si>
  <si>
    <t>Taxa de Depreciação (Água+Esgoto)</t>
  </si>
  <si>
    <t>Tabela - Custos da Parcela A</t>
  </si>
  <si>
    <t>Itens</t>
  </si>
  <si>
    <t>Tabela - Custos de Capital</t>
  </si>
  <si>
    <t>Tabela - Tributos e Encargos</t>
  </si>
  <si>
    <t>Tributos e Encargos</t>
  </si>
  <si>
    <t>Base de Ativos Regulatória</t>
  </si>
  <si>
    <t>Tabela - Base de Ativos Regulatória</t>
  </si>
  <si>
    <t>Tabela - Parâmetros e Premissas</t>
  </si>
  <si>
    <t>Percentual de Dedução - Outras Receitas</t>
  </si>
  <si>
    <t>Ciclo Tarifário - Ano de Início</t>
  </si>
  <si>
    <t>Ciclo Tarifário - Ano de Término</t>
  </si>
  <si>
    <t>Ciclo Tarifário - Quantidade de anos</t>
  </si>
  <si>
    <t>Terrenos Não Onerosos (Água)</t>
  </si>
  <si>
    <t>Terrenos Não Onerosos (Esgoto)</t>
  </si>
  <si>
    <t xml:space="preserve">      Onerosos</t>
  </si>
  <si>
    <t xml:space="preserve">   Terrenos Não Onerosos</t>
  </si>
  <si>
    <t xml:space="preserve">   Depreciação Não Onerosos</t>
  </si>
  <si>
    <t>Ativos Imobilizados (Água) (R$)</t>
  </si>
  <si>
    <t>Ativos Imobilizados (Esgoto) (R$)</t>
  </si>
  <si>
    <t>Terrenos Não Onerosos (Água + Esgoto)</t>
  </si>
  <si>
    <t>Unidades Consumidoras</t>
  </si>
  <si>
    <t>P0 (Tarifa B) - Fator-X</t>
  </si>
  <si>
    <t>Fator-X</t>
  </si>
  <si>
    <t>Tabela - Tarifa Média - Variação IRT 2020 e 2a RTP 2021</t>
  </si>
  <si>
    <t>Compensações</t>
  </si>
  <si>
    <t>Tarifa</t>
  </si>
  <si>
    <t>Tabela - Receitas Irrecuperáveis</t>
  </si>
  <si>
    <t>2021 a 2024</t>
  </si>
  <si>
    <t>Adm e Outros (Total)</t>
  </si>
  <si>
    <t>Tabela - Compensações</t>
  </si>
  <si>
    <t>Índice de Atualização</t>
  </si>
  <si>
    <t>Taxa Selic</t>
  </si>
  <si>
    <t>IPCA</t>
  </si>
  <si>
    <t>Adicional de Tarifa - Compensações</t>
  </si>
  <si>
    <t>Receita - Compensações</t>
  </si>
  <si>
    <t>Indexadas ao WACC</t>
  </si>
  <si>
    <t>Indexadas à Selic</t>
  </si>
  <si>
    <t>Indexadas ao IPCA</t>
  </si>
  <si>
    <t>(-) Diferimento - Saldo Financeiro Projetado (05/2021)</t>
  </si>
  <si>
    <t>(-) Suspensão IRT 2020</t>
  </si>
  <si>
    <t>Fonte: Agepar (2020). Protocolado 17.002.098-7</t>
  </si>
  <si>
    <t>Tarifa (Parcela B + Compensações)</t>
  </si>
  <si>
    <t>Tarifa P0 Água+Esgoto (Parcela B)</t>
  </si>
  <si>
    <t>Tarifa Adicional Total - Compensações</t>
  </si>
  <si>
    <t>Custo Energia</t>
  </si>
  <si>
    <t>Custo Químicos</t>
  </si>
  <si>
    <t>Custo Encargos</t>
  </si>
  <si>
    <t>Custos Totais</t>
  </si>
  <si>
    <t>Proporção de custos Água (1a RTP)</t>
  </si>
  <si>
    <t>Proporção de custos Esgoto (1a RTP)</t>
  </si>
  <si>
    <t>Tabela - Outras Receitas</t>
  </si>
  <si>
    <t>Impostos inclusos no WACC (%)</t>
  </si>
  <si>
    <t>IRPJ</t>
  </si>
  <si>
    <t>CSLL</t>
  </si>
  <si>
    <t>Item do Capital de Giro</t>
  </si>
  <si>
    <t>Tabela - Capital de Giro</t>
  </si>
  <si>
    <t>2020 - atualizado</t>
  </si>
  <si>
    <t>Participação na Tarifa</t>
  </si>
  <si>
    <t>-</t>
  </si>
  <si>
    <t>Gráfico - Composição da Tarifa - Componentes</t>
  </si>
  <si>
    <t>Onerosos (Adm)</t>
  </si>
  <si>
    <t>Não Onerosos (Adm)</t>
  </si>
  <si>
    <t>Terrenos (Adm)</t>
  </si>
  <si>
    <t>Reserva Operacional Móvel (Adm)</t>
  </si>
  <si>
    <t>Vida útil regulatória, anos (Água + Esgoto + Adm)</t>
  </si>
  <si>
    <t>Taxa de depreciação regulatória (Água + Esgoto  + Adm)</t>
  </si>
  <si>
    <t>Ativos Imobilizados (Adm) (R$)</t>
  </si>
  <si>
    <t>Depreciação da BRR inicial (Adm)</t>
  </si>
  <si>
    <t>VPL</t>
  </si>
  <si>
    <t>Calculado na P0</t>
  </si>
  <si>
    <t>Calculado no Fator-X</t>
  </si>
  <si>
    <t>Tabela - Diferença VPLs P0 e Fator-X</t>
  </si>
  <si>
    <t>Componente da Tarifa Adicional de Compensação</t>
  </si>
  <si>
    <t>Tabela - Cálculo da Tarifa Adicional de Compensação</t>
  </si>
  <si>
    <t>Tabela - Cálculo da Tarifa Média Econômica P0 + Tarifa Adicional Compensações</t>
  </si>
  <si>
    <t>Tabela - Tarifa Final - Composição</t>
  </si>
  <si>
    <t>(-) Saldo da Conta Gráfica dos Custos Não Gerenciáveis de 2020</t>
  </si>
  <si>
    <t>Participação na Variação da Tarifa</t>
  </si>
  <si>
    <t>Elaboração: AGEPAR (2021)</t>
  </si>
  <si>
    <t>Elaboração: Agepar (2021)</t>
  </si>
  <si>
    <t>Fonte: Dados SANEPAR (2020). Elaboração: AGEPAR (2021)</t>
  </si>
  <si>
    <t>Fonte: Dados e Elaboração: AGEPAR (2021)</t>
  </si>
  <si>
    <t>Fonte: Elaboração: Agepar (2021).</t>
  </si>
  <si>
    <t>Fonte: Dados Sanepar (2020) - Protocolado 17.163.581-0. Elaboração: Agepar (2021).</t>
  </si>
  <si>
    <t>Fonte: Dados Sanepar (2020) - Protocolado 16.958.896-1 (Anexo 4) e 17.188.924-3. Elaboração: Agepar (2021).</t>
  </si>
  <si>
    <t>Elaboração: Agepar (2021). Procolado 17.009.823-4.</t>
  </si>
  <si>
    <t>Fonte: Agepar (2021). Protocolado 17.115.191-0</t>
  </si>
  <si>
    <t>IPCA - Projeção 2021. Banco Central. Relatório Focus 19/02/2021</t>
  </si>
  <si>
    <t>IPCA - Projeção 2022. Banco Central. Relatório Focus 19/02/2021</t>
  </si>
  <si>
    <t>IPCA - Projeção 2023. Banco Central. Relatório Focus 19/02/2021</t>
  </si>
  <si>
    <t>IPCA - Projeção 2024. Banco Central. Relatório Focus 19/02/2021</t>
  </si>
  <si>
    <t>IPCA - Variação do índice de Dez/2016 a Dez/2020</t>
  </si>
  <si>
    <t>IPCA - Acumulado 12 meses - Dez/2020</t>
  </si>
  <si>
    <t>Meta Selic (a.a.) - Jan/2021. Banco Central. Ata 236 Copom.</t>
  </si>
  <si>
    <t>IPCA - Projeção Acumulada 2021 - Índice</t>
  </si>
  <si>
    <t>IPCA - Projeção Acumulada 2022 - Índice</t>
  </si>
  <si>
    <t>IPCA - Projeção Acumulada 2023 - Índice</t>
  </si>
  <si>
    <t>IPCA - Projeção Acumulada 2024 - Índice</t>
  </si>
  <si>
    <t>Tarifa Compensações - WACC</t>
  </si>
  <si>
    <t>Tarifa Compensações - Selic</t>
  </si>
  <si>
    <t>Tarifa Compensações - IPCA</t>
  </si>
  <si>
    <t>Tarifa Verificada/Homologada</t>
  </si>
  <si>
    <t>Diferença média 2017-2020</t>
  </si>
  <si>
    <t>Percentual</t>
  </si>
  <si>
    <t>Fonte: Dados Sanepar (2020) - Protocolado 17.376.896-6. Análises e Elaboração: Agepar (2021)</t>
  </si>
  <si>
    <t>Tabela - Diferença média tarifa verificada e homologada</t>
  </si>
  <si>
    <t>Tarifa Homologada - IRT 2020</t>
  </si>
  <si>
    <t>Tarifa homologada na IRT 2020 (-) Diferença Média entre Tarifa Homologada e Verificada (2017-2020)</t>
  </si>
  <si>
    <t>(-) Substituição IGP-M por IPCA na IRT 2020</t>
  </si>
  <si>
    <t>Valor Percentual da Receita Operacional</t>
  </si>
  <si>
    <t>Fonte: Dados Sanepar (2020) - 17.376.896-6 (Anexo 11). Elaboração: Agepar (2021).</t>
  </si>
  <si>
    <t>Fonte: Dados Sanepar (2020) - Protocolado 17.002.046-4. Elaboração: Agepar (2021).</t>
  </si>
  <si>
    <t>Fonte: Dados Sanepar (2020) - Protocolado 16.958.896-1 (Anexo 4) e 17.178.978-8 (Anexo 2). Elaboração: Agepar (2021).</t>
  </si>
  <si>
    <t>Tabela - Investimentos - Valor Presente</t>
  </si>
  <si>
    <t>(+) IRPJ e CSLL - Diferença previsto e efetivo Ciclo 1a RTP</t>
  </si>
  <si>
    <t>Fonte: Dados Sanepar (2020) - Protocolado 17.089.629-7; 17.030.802-6 (Anexos 1 e 2); 17.002.082-0  (Anexo 4); 17.376.896-6 (Anexo 7). Elaboração: Agepar (2021).</t>
  </si>
  <si>
    <t>Fonte: Dados Sanepar (2021) - Protocolados  17.009.823-4 e 17.002.046-4. Elaboração: Agepar (2021).</t>
  </si>
  <si>
    <t>Fonte: Dados Sanepar (2021) - Protocolado 17.376.896-6 (Anexos 2, 3, 4, 5 e 7). Elaboração: Agepar (2021).</t>
  </si>
  <si>
    <t>Ativos Imobilizados a Serem Incorporados (2016) (R$)</t>
  </si>
  <si>
    <t>Fonte: Sanepar (2021) - Protocolado 17.376.896-6 (Anexo 9)</t>
  </si>
  <si>
    <t>Tarifas Verificadas 2017 - 2020</t>
  </si>
  <si>
    <t>Total</t>
  </si>
  <si>
    <t>Receita Total</t>
  </si>
  <si>
    <r>
      <t>COFINS/PASEP (efetiva)</t>
    </r>
    <r>
      <rPr>
        <vertAlign val="superscript"/>
        <sz val="10"/>
        <color theme="1"/>
        <rFont val="Century Gothic"/>
        <family val="2"/>
        <scheme val="minor"/>
      </rPr>
      <t>1</t>
    </r>
  </si>
  <si>
    <t>Receita líquida</t>
  </si>
  <si>
    <t>VF - Volume Faturado</t>
  </si>
  <si>
    <r>
      <rPr>
        <vertAlign val="superscript"/>
        <sz val="10"/>
        <rFont val="Century Gothic"/>
        <family val="2"/>
        <scheme val="minor"/>
      </rPr>
      <t>1</t>
    </r>
    <r>
      <rPr>
        <sz val="10"/>
        <rFont val="Century Gothic"/>
        <family val="2"/>
        <scheme val="minor"/>
      </rPr>
      <t xml:space="preserve"> Alíquota efetiva contábil.</t>
    </r>
  </si>
  <si>
    <t>IRT</t>
  </si>
  <si>
    <t>Aplicação</t>
  </si>
  <si>
    <t>Fonte</t>
  </si>
  <si>
    <t>Média Diferença Tarifa Verificada/Homologada 2017-2020</t>
  </si>
  <si>
    <t>NT 01/2018</t>
  </si>
  <si>
    <t>Resolução Homologatória 005/2018</t>
  </si>
  <si>
    <t>Resolução Homologatória 006/2019</t>
  </si>
  <si>
    <t>Obs.: Considerando que a tarifa da 1a RTP foi aplicada somente em 17/05/2017 (1a tarifa homologada pela Agepar), os cálculos só se apresentam comparáveis a partir de junho/2017, quando se encontra aplicada uma tarifa homologada em todos os dias do mês.</t>
  </si>
  <si>
    <t>Resolução 040/2020</t>
  </si>
  <si>
    <t>Tarifa Verificada</t>
  </si>
  <si>
    <t>Tarifa Homologada</t>
  </si>
  <si>
    <t>Diferença (% sobre a homologada)</t>
  </si>
  <si>
    <t>Tabela - Tarifas Homologadas</t>
  </si>
  <si>
    <t>I-TarifaVerificada</t>
  </si>
  <si>
    <t>Dados sobre a tarifa verificada entre 2017 e 2020</t>
  </si>
  <si>
    <t>A-DiferençaMédia</t>
  </si>
  <si>
    <t>Cálculo da diferença média entre a tarifa verificada e a homologada entre 2017 e 2020</t>
  </si>
  <si>
    <t>² COFINS/PASEP resultante da aplicação da alíquota efetiva sobre as receitas de água e esgoto (contabilmente o valor calculado de COFINS/PASEP é resultante da aplicação sobre todas as receitas da Companhia).</t>
  </si>
  <si>
    <t>³ A apuração de COFINS/PASEP apresentada difere da apuração fiscal da Companhia devido a outros componentes do cálculo (ex. Outras Receitas)</t>
  </si>
  <si>
    <t>COFINS/PASEP (R$)²</t>
  </si>
  <si>
    <t>A-Fator-X</t>
  </si>
  <si>
    <t>Variação</t>
  </si>
  <si>
    <t>Tarifa 
1a Fase 2a RTP</t>
  </si>
  <si>
    <t>Esta planilha foi desenvolvida como parte integrante da 1ª Fase da 2ª Revisão Tarifária Periódica dos serviços de saneamento básico do Estado do Paraná. 
Seu conteúdo refere-se ao cálculo da tarifa média para o ciclo tarifário preliminar dos anos de 2021 a 2024. A metodologia adotada é descrita na Nota Técnica 001/2020, envolvendo o cálculo da tarifa média econômica P0 e o Fator-X, respectivamente.
Este documento se encontra em sua versão final para a 1a Fase da 2a RTP, considerando ajustes recebidos pela Consulta Pública 001/2021 e Audiência Pública 001/2021.
O objetivo das informações desta planilha é consolidar os parâmetros calculados nas demais Notas Técnicas da RTP a fim de se calcular a tarifa básica preliminar de saneamento, envolvendo serviços de água e esgoto.
Os resultados dos cálculos da planilha encontram-se nas abas "R-TarifaRTP-2021".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</si>
</sst>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0.0000"/>
    <numFmt numFmtId="165" formatCode="&quot;R$&quot;#,##0.00"/>
    <numFmt numFmtId="166" formatCode="&quot;R$&quot;#,##0.0000"/>
    <numFmt numFmtId="167" formatCode="#,##0.000"/>
    <numFmt numFmtId="168" formatCode="#,##0.0000"/>
    <numFmt numFmtId="169" formatCode="_-* #,##0_-;\-* #,##0_-;_-* &quot;-&quot;??_-;_-@_-"/>
    <numFmt numFmtId="170" formatCode="_-* #,##0.000_-;\-* #,##0.000_-;_-* &quot;-&quot;??_-;_-@_-"/>
    <numFmt numFmtId="171" formatCode="0.000"/>
    <numFmt numFmtId="172" formatCode="_-* #,##0.000_-;\-* #,##0.000_-;_-* &quot;-&quot;???_-;_-@_-"/>
    <numFmt numFmtId="173" formatCode="_-* #,##0.00000000_-;\-* #,##0.00000000_-;_-* &quot;-&quot;??_-;_-@_-"/>
    <numFmt numFmtId="174" formatCode="0.0000%"/>
    <numFmt numFmtId="175" formatCode="_(* #,##0.00_);_(* \(#,##0.00\);_(* &quot;-&quot;??_);_(@_)"/>
    <numFmt numFmtId="176" formatCode="0.00000%"/>
    <numFmt numFmtId="177" formatCode="0.0%"/>
    <numFmt numFmtId="178" formatCode="#,##0_ ;\-#,##0\ "/>
    <numFmt numFmtId="179" formatCode="_-&quot;R$&quot;* #,##0.0000_-;\-&quot;R$&quot;* #,##0.0000_-;_-&quot;R$&quot;* &quot;-&quot;??_-;_-@_-"/>
    <numFmt numFmtId="180" formatCode="0.000%"/>
    <numFmt numFmtId="181" formatCode="mmm/yyyy"/>
    <numFmt numFmtId="182" formatCode="_-* #,##0.0000_-;\-* #,##0.0000_-;_-* &quot;-&quot;??_-;_-@_-"/>
    <numFmt numFmtId="183" formatCode="_-* #,##0.0000_-;\-* #,##0.0000_-;_-* &quot;-&quot;????_-;_-@_-"/>
  </numFmts>
  <fonts count="24" x14ac:knownFonts="1">
    <font>
      <sz val="11"/>
      <color theme="1"/>
      <name val="Calibri"/>
      <family val="2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8"/>
      <color theme="4" tint="-0.24994659260841701"/>
      <name val="Century Gothic"/>
      <family val="2"/>
      <scheme val="minor"/>
    </font>
    <font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9"/>
      <color indexed="81"/>
      <name val="Segoe UI"/>
      <family val="2"/>
    </font>
    <font>
      <sz val="10"/>
      <color theme="1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vertAlign val="superscript"/>
      <sz val="10"/>
      <color theme="1"/>
      <name val="Century Gothic"/>
      <family val="2"/>
      <scheme val="minor"/>
    </font>
    <font>
      <sz val="10"/>
      <name val="Century Gothic"/>
      <family val="2"/>
      <scheme val="minor"/>
    </font>
    <font>
      <vertAlign val="superscript"/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b/>
      <sz val="11"/>
      <name val="Calibri"/>
      <family val="2"/>
    </font>
    <font>
      <sz val="11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</borders>
  <cellStyleXfs count="1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1" fillId="7" borderId="0" applyBorder="0" applyAlignment="0" applyProtection="0"/>
    <xf numFmtId="17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/>
    <xf numFmtId="0" fontId="7" fillId="0" borderId="0" xfId="0" applyFont="1"/>
    <xf numFmtId="0" fontId="6" fillId="0" borderId="0" xfId="0" applyFont="1"/>
    <xf numFmtId="0" fontId="7" fillId="2" borderId="0" xfId="0" applyFont="1" applyFill="1"/>
    <xf numFmtId="0" fontId="6" fillId="2" borderId="0" xfId="0" applyFont="1" applyFill="1"/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7" fillId="2" borderId="7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14" xfId="0" applyFont="1" applyFill="1" applyBorder="1" applyAlignment="1">
      <alignment horizontal="left"/>
    </xf>
    <xf numFmtId="0" fontId="6" fillId="2" borderId="14" xfId="0" applyFont="1" applyFill="1" applyBorder="1"/>
    <xf numFmtId="0" fontId="6" fillId="2" borderId="12" xfId="0" applyFont="1" applyFill="1" applyBorder="1"/>
    <xf numFmtId="0" fontId="6" fillId="2" borderId="8" xfId="0" applyFont="1" applyFill="1" applyBorder="1"/>
    <xf numFmtId="0" fontId="6" fillId="2" borderId="13" xfId="0" applyFont="1" applyFill="1" applyBorder="1"/>
    <xf numFmtId="0" fontId="8" fillId="3" borderId="16" xfId="0" applyFont="1" applyFill="1" applyBorder="1" applyAlignment="1">
      <alignment horizontal="center" vertical="center" wrapText="1"/>
    </xf>
    <xf numFmtId="164" fontId="6" fillId="2" borderId="17" xfId="0" applyNumberFormat="1" applyFont="1" applyFill="1" applyBorder="1"/>
    <xf numFmtId="0" fontId="0" fillId="2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66" fontId="8" fillId="5" borderId="15" xfId="1" applyNumberFormat="1" applyFont="1" applyFill="1" applyBorder="1" applyAlignment="1">
      <alignment horizontal="right" wrapText="1"/>
    </xf>
    <xf numFmtId="165" fontId="6" fillId="2" borderId="15" xfId="5" applyNumberFormat="1" applyFont="1" applyFill="1" applyBorder="1" applyAlignment="1">
      <alignment horizontal="right"/>
    </xf>
    <xf numFmtId="4" fontId="8" fillId="3" borderId="15" xfId="5" applyNumberFormat="1" applyFont="1" applyFill="1" applyBorder="1" applyAlignment="1">
      <alignment horizontal="center" wrapText="1"/>
    </xf>
    <xf numFmtId="166" fontId="6" fillId="4" borderId="15" xfId="5" applyNumberFormat="1" applyFont="1" applyFill="1" applyBorder="1" applyAlignment="1">
      <alignment horizontal="right" wrapText="1"/>
    </xf>
    <xf numFmtId="165" fontId="6" fillId="2" borderId="15" xfId="5" applyNumberFormat="1" applyFont="1" applyFill="1" applyBorder="1" applyAlignment="1">
      <alignment horizontal="right" wrapText="1"/>
    </xf>
    <xf numFmtId="166" fontId="6" fillId="4" borderId="15" xfId="5" applyNumberFormat="1" applyFont="1" applyFill="1" applyBorder="1" applyAlignment="1">
      <alignment horizontal="right"/>
    </xf>
    <xf numFmtId="166" fontId="7" fillId="6" borderId="15" xfId="5" applyNumberFormat="1" applyFont="1" applyFill="1" applyBorder="1" applyAlignment="1">
      <alignment horizontal="right"/>
    </xf>
    <xf numFmtId="166" fontId="6" fillId="2" borderId="15" xfId="5" applyNumberFormat="1" applyFont="1" applyFill="1" applyBorder="1" applyAlignment="1">
      <alignment horizontal="right"/>
    </xf>
    <xf numFmtId="0" fontId="6" fillId="0" borderId="0" xfId="0" applyFont="1" applyBorder="1"/>
    <xf numFmtId="4" fontId="8" fillId="3" borderId="20" xfId="5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indent="1"/>
    </xf>
    <xf numFmtId="168" fontId="10" fillId="0" borderId="0" xfId="0" applyNumberFormat="1" applyFont="1" applyFill="1" applyBorder="1" applyAlignment="1">
      <alignment horizontal="left" vertical="center" wrapText="1" indent="1"/>
    </xf>
    <xf numFmtId="0" fontId="8" fillId="3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wrapText="1"/>
    </xf>
    <xf numFmtId="0" fontId="7" fillId="6" borderId="21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left"/>
    </xf>
    <xf numFmtId="0" fontId="0" fillId="2" borderId="21" xfId="0" applyFont="1" applyFill="1" applyBorder="1" applyAlignment="1">
      <alignment horizontal="left" wrapText="1"/>
    </xf>
    <xf numFmtId="0" fontId="0" fillId="2" borderId="21" xfId="0" applyFont="1" applyFill="1" applyBorder="1" applyAlignment="1">
      <alignment horizontal="left"/>
    </xf>
    <xf numFmtId="0" fontId="0" fillId="4" borderId="21" xfId="0" applyFont="1" applyFill="1" applyBorder="1" applyAlignment="1">
      <alignment horizontal="left" wrapText="1"/>
    </xf>
    <xf numFmtId="0" fontId="0" fillId="4" borderId="2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 wrapText="1"/>
    </xf>
    <xf numFmtId="0" fontId="8" fillId="3" borderId="21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horizontal="left" wrapText="1"/>
    </xf>
    <xf numFmtId="0" fontId="7" fillId="6" borderId="23" xfId="0" applyFont="1" applyFill="1" applyBorder="1" applyAlignment="1">
      <alignment horizontal="left"/>
    </xf>
    <xf numFmtId="0" fontId="7" fillId="6" borderId="24" xfId="0" applyFont="1" applyFill="1" applyBorder="1" applyAlignment="1">
      <alignment horizontal="left"/>
    </xf>
    <xf numFmtId="0" fontId="0" fillId="2" borderId="22" xfId="0" applyFont="1" applyFill="1" applyBorder="1" applyAlignment="1">
      <alignment horizontal="left" wrapText="1"/>
    </xf>
    <xf numFmtId="167" fontId="6" fillId="2" borderId="22" xfId="5" applyNumberFormat="1" applyFont="1" applyFill="1" applyBorder="1" applyAlignment="1">
      <alignment horizontal="right" wrapText="1"/>
    </xf>
    <xf numFmtId="0" fontId="0" fillId="2" borderId="22" xfId="0" applyFont="1" applyFill="1" applyBorder="1" applyAlignment="1">
      <alignment horizontal="left"/>
    </xf>
    <xf numFmtId="3" fontId="6" fillId="2" borderId="22" xfId="5" applyNumberFormat="1" applyFont="1" applyFill="1" applyBorder="1" applyAlignment="1">
      <alignment horizontal="right"/>
    </xf>
    <xf numFmtId="3" fontId="6" fillId="2" borderId="22" xfId="5" applyNumberFormat="1" applyFont="1" applyFill="1" applyBorder="1" applyAlignment="1">
      <alignment horizontal="right" wrapText="1"/>
    </xf>
    <xf numFmtId="0" fontId="8" fillId="3" borderId="16" xfId="0" applyNumberFormat="1" applyFont="1" applyFill="1" applyBorder="1" applyAlignment="1">
      <alignment horizontal="center"/>
    </xf>
    <xf numFmtId="169" fontId="8" fillId="5" borderId="24" xfId="5" applyNumberFormat="1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left"/>
    </xf>
    <xf numFmtId="0" fontId="7" fillId="4" borderId="23" xfId="0" applyFont="1" applyFill="1" applyBorder="1" applyAlignment="1">
      <alignment horizontal="left" wrapText="1"/>
    </xf>
    <xf numFmtId="0" fontId="7" fillId="4" borderId="24" xfId="0" applyFont="1" applyFill="1" applyBorder="1" applyAlignment="1">
      <alignment horizontal="left" wrapText="1"/>
    </xf>
    <xf numFmtId="0" fontId="0" fillId="0" borderId="22" xfId="0" applyFont="1" applyBorder="1" applyAlignment="1">
      <alignment horizontal="left"/>
    </xf>
    <xf numFmtId="0" fontId="7" fillId="6" borderId="25" xfId="0" applyFont="1" applyFill="1" applyBorder="1" applyAlignment="1">
      <alignment horizontal="left"/>
    </xf>
    <xf numFmtId="0" fontId="8" fillId="3" borderId="18" xfId="0" quotePrefix="1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left" wrapText="1"/>
    </xf>
    <xf numFmtId="169" fontId="6" fillId="2" borderId="17" xfId="5" applyNumberFormat="1" applyFont="1" applyFill="1" applyBorder="1"/>
    <xf numFmtId="169" fontId="7" fillId="6" borderId="23" xfId="5" applyNumberFormat="1" applyFont="1" applyFill="1" applyBorder="1" applyAlignment="1">
      <alignment horizontal="left"/>
    </xf>
    <xf numFmtId="164" fontId="0" fillId="2" borderId="17" xfId="0" applyNumberFormat="1" applyFont="1" applyFill="1" applyBorder="1"/>
    <xf numFmtId="10" fontId="6" fillId="2" borderId="17" xfId="6" applyNumberFormat="1" applyFont="1" applyFill="1" applyBorder="1"/>
    <xf numFmtId="0" fontId="6" fillId="2" borderId="17" xfId="5" applyNumberFormat="1" applyFont="1" applyFill="1" applyBorder="1"/>
    <xf numFmtId="169" fontId="7" fillId="4" borderId="21" xfId="5" applyNumberFormat="1" applyFont="1" applyFill="1" applyBorder="1" applyAlignment="1">
      <alignment horizontal="right" wrapText="1"/>
    </xf>
    <xf numFmtId="169" fontId="7" fillId="4" borderId="21" xfId="0" applyNumberFormat="1" applyFont="1" applyFill="1" applyBorder="1" applyAlignment="1">
      <alignment horizontal="left" wrapText="1"/>
    </xf>
    <xf numFmtId="169" fontId="7" fillId="4" borderId="21" xfId="5" applyNumberFormat="1" applyFont="1" applyFill="1" applyBorder="1" applyAlignment="1">
      <alignment horizontal="left" wrapText="1"/>
    </xf>
    <xf numFmtId="169" fontId="7" fillId="4" borderId="23" xfId="5" applyNumberFormat="1" applyFont="1" applyFill="1" applyBorder="1" applyAlignment="1">
      <alignment horizontal="left" wrapText="1"/>
    </xf>
    <xf numFmtId="169" fontId="6" fillId="0" borderId="22" xfId="5" applyNumberFormat="1" applyFont="1" applyBorder="1"/>
    <xf numFmtId="169" fontId="6" fillId="0" borderId="22" xfId="0" applyNumberFormat="1" applyFont="1" applyBorder="1"/>
    <xf numFmtId="10" fontId="6" fillId="0" borderId="22" xfId="0" applyNumberFormat="1" applyFont="1" applyBorder="1"/>
    <xf numFmtId="169" fontId="7" fillId="4" borderId="24" xfId="5" applyNumberFormat="1" applyFont="1" applyFill="1" applyBorder="1" applyAlignment="1">
      <alignment horizontal="left" wrapText="1"/>
    </xf>
    <xf numFmtId="169" fontId="7" fillId="4" borderId="23" xfId="0" applyNumberFormat="1" applyFont="1" applyFill="1" applyBorder="1" applyAlignment="1">
      <alignment horizontal="left" wrapText="1"/>
    </xf>
    <xf numFmtId="169" fontId="7" fillId="6" borderId="24" xfId="0" applyNumberFormat="1" applyFont="1" applyFill="1" applyBorder="1" applyAlignment="1">
      <alignment horizontal="left"/>
    </xf>
    <xf numFmtId="169" fontId="7" fillId="6" borderId="21" xfId="0" applyNumberFormat="1" applyFont="1" applyFill="1" applyBorder="1" applyAlignment="1">
      <alignment horizontal="left"/>
    </xf>
    <xf numFmtId="169" fontId="7" fillId="6" borderId="25" xfId="0" applyNumberFormat="1" applyFont="1" applyFill="1" applyBorder="1" applyAlignment="1">
      <alignment horizontal="left"/>
    </xf>
    <xf numFmtId="169" fontId="7" fillId="6" borderId="25" xfId="5" applyNumberFormat="1" applyFont="1" applyFill="1" applyBorder="1" applyAlignment="1">
      <alignment horizontal="left"/>
    </xf>
    <xf numFmtId="169" fontId="6" fillId="4" borderId="23" xfId="5" applyNumberFormat="1" applyFont="1" applyFill="1" applyBorder="1" applyAlignment="1">
      <alignment horizontal="right" wrapText="1"/>
    </xf>
    <xf numFmtId="170" fontId="7" fillId="6" borderId="23" xfId="5" applyNumberFormat="1" applyFont="1" applyFill="1" applyBorder="1" applyAlignment="1">
      <alignment horizontal="right" wrapText="1"/>
    </xf>
    <xf numFmtId="169" fontId="7" fillId="6" borderId="23" xfId="0" applyNumberFormat="1" applyFont="1" applyFill="1" applyBorder="1" applyAlignment="1">
      <alignment horizontal="left"/>
    </xf>
    <xf numFmtId="0" fontId="7" fillId="6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ill="1"/>
    <xf numFmtId="171" fontId="6" fillId="2" borderId="0" xfId="0" applyNumberFormat="1" applyFont="1" applyFill="1"/>
    <xf numFmtId="0" fontId="9" fillId="2" borderId="0" xfId="0" applyFont="1" applyFill="1" applyBorder="1" applyAlignment="1">
      <alignment horizontal="center" vertical="center"/>
    </xf>
    <xf numFmtId="168" fontId="10" fillId="2" borderId="0" xfId="0" applyNumberFormat="1" applyFont="1" applyFill="1" applyBorder="1" applyAlignment="1">
      <alignment horizontal="left" vertical="center" wrapText="1" indent="1"/>
    </xf>
    <xf numFmtId="3" fontId="6" fillId="0" borderId="22" xfId="5" applyNumberFormat="1" applyFont="1" applyFill="1" applyBorder="1" applyAlignment="1">
      <alignment horizontal="right" wrapText="1"/>
    </xf>
    <xf numFmtId="43" fontId="6" fillId="0" borderId="0" xfId="5" applyFont="1"/>
    <xf numFmtId="169" fontId="6" fillId="0" borderId="22" xfId="5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169" fontId="6" fillId="0" borderId="0" xfId="0" applyNumberFormat="1" applyFont="1"/>
    <xf numFmtId="10" fontId="7" fillId="6" borderId="23" xfId="6" applyNumberFormat="1" applyFont="1" applyFill="1" applyBorder="1" applyAlignment="1">
      <alignment horizontal="center" wrapText="1"/>
    </xf>
    <xf numFmtId="169" fontId="6" fillId="2" borderId="15" xfId="5" applyNumberFormat="1" applyFont="1" applyFill="1" applyBorder="1" applyAlignment="1">
      <alignment horizontal="right" wrapText="1"/>
    </xf>
    <xf numFmtId="0" fontId="0" fillId="6" borderId="21" xfId="0" applyFont="1" applyFill="1" applyBorder="1" applyAlignment="1">
      <alignment horizontal="left"/>
    </xf>
    <xf numFmtId="43" fontId="0" fillId="4" borderId="21" xfId="5" applyFont="1" applyFill="1" applyBorder="1" applyAlignment="1">
      <alignment horizontal="left" wrapText="1"/>
    </xf>
    <xf numFmtId="43" fontId="6" fillId="4" borderId="23" xfId="5" applyFont="1" applyFill="1" applyBorder="1" applyAlignment="1">
      <alignment horizontal="right" wrapText="1"/>
    </xf>
    <xf numFmtId="43" fontId="6" fillId="2" borderId="0" xfId="5" applyFont="1" applyFill="1"/>
    <xf numFmtId="170" fontId="6" fillId="2" borderId="0" xfId="0" applyNumberFormat="1" applyFont="1" applyFill="1"/>
    <xf numFmtId="172" fontId="6" fillId="2" borderId="0" xfId="0" applyNumberFormat="1" applyFont="1" applyFill="1"/>
    <xf numFmtId="0" fontId="10" fillId="2" borderId="0" xfId="0" applyFont="1" applyFill="1" applyBorder="1" applyAlignment="1">
      <alignment horizontal="left" vertical="center" wrapText="1" indent="1"/>
    </xf>
    <xf numFmtId="0" fontId="7" fillId="2" borderId="19" xfId="0" applyFont="1" applyFill="1" applyBorder="1" applyAlignment="1">
      <alignment horizontal="left" wrapText="1"/>
    </xf>
    <xf numFmtId="164" fontId="6" fillId="8" borderId="17" xfId="0" applyNumberFormat="1" applyFont="1" applyFill="1" applyBorder="1"/>
    <xf numFmtId="169" fontId="6" fillId="8" borderId="17" xfId="5" applyNumberFormat="1" applyFont="1" applyFill="1" applyBorder="1"/>
    <xf numFmtId="44" fontId="6" fillId="2" borderId="17" xfId="1" applyNumberFormat="1" applyFont="1" applyFill="1" applyBorder="1"/>
    <xf numFmtId="0" fontId="8" fillId="3" borderId="16" xfId="0" applyFont="1" applyFill="1" applyBorder="1" applyAlignment="1">
      <alignment horizontal="center" vertical="center"/>
    </xf>
    <xf numFmtId="0" fontId="6" fillId="2" borderId="17" xfId="1" applyNumberFormat="1" applyFont="1" applyFill="1" applyBorder="1" applyAlignment="1">
      <alignment horizontal="center"/>
    </xf>
    <xf numFmtId="169" fontId="8" fillId="5" borderId="24" xfId="5" applyNumberFormat="1" applyFont="1" applyFill="1" applyBorder="1" applyAlignment="1">
      <alignment horizontal="left" wrapText="1"/>
    </xf>
    <xf numFmtId="0" fontId="7" fillId="6" borderId="0" xfId="0" applyFont="1" applyFill="1" applyBorder="1" applyAlignment="1">
      <alignment horizontal="left"/>
    </xf>
    <xf numFmtId="170" fontId="7" fillId="6" borderId="25" xfId="5" applyNumberFormat="1" applyFont="1" applyFill="1" applyBorder="1" applyAlignment="1">
      <alignment horizontal="left"/>
    </xf>
    <xf numFmtId="170" fontId="8" fillId="5" borderId="24" xfId="5" applyNumberFormat="1" applyFont="1" applyFill="1" applyBorder="1" applyAlignment="1">
      <alignment horizontal="center" wrapText="1"/>
    </xf>
    <xf numFmtId="170" fontId="6" fillId="6" borderId="23" xfId="5" applyNumberFormat="1" applyFont="1" applyFill="1" applyBorder="1" applyAlignment="1">
      <alignment horizontal="right" wrapText="1"/>
    </xf>
    <xf numFmtId="170" fontId="7" fillId="6" borderId="0" xfId="5" applyNumberFormat="1" applyFont="1" applyFill="1" applyBorder="1" applyAlignment="1">
      <alignment horizontal="right" wrapText="1"/>
    </xf>
    <xf numFmtId="0" fontId="0" fillId="6" borderId="19" xfId="0" applyFont="1" applyFill="1" applyBorder="1" applyAlignment="1">
      <alignment horizontal="left"/>
    </xf>
    <xf numFmtId="170" fontId="6" fillId="6" borderId="19" xfId="5" applyNumberFormat="1" applyFont="1" applyFill="1" applyBorder="1" applyAlignment="1">
      <alignment horizontal="right" wrapText="1"/>
    </xf>
    <xf numFmtId="173" fontId="6" fillId="2" borderId="0" xfId="5" applyNumberFormat="1" applyFont="1" applyFill="1"/>
    <xf numFmtId="0" fontId="7" fillId="2" borderId="18" xfId="0" applyFont="1" applyFill="1" applyBorder="1" applyAlignment="1">
      <alignment horizontal="left"/>
    </xf>
    <xf numFmtId="167" fontId="6" fillId="2" borderId="22" xfId="5" applyNumberFormat="1" applyFont="1" applyFill="1" applyBorder="1" applyAlignment="1">
      <alignment horizontal="right"/>
    </xf>
    <xf numFmtId="10" fontId="7" fillId="6" borderId="15" xfId="6" applyNumberFormat="1" applyFont="1" applyFill="1" applyBorder="1" applyAlignment="1">
      <alignment horizontal="right"/>
    </xf>
    <xf numFmtId="169" fontId="6" fillId="2" borderId="22" xfId="5" applyNumberFormat="1" applyFont="1" applyFill="1" applyBorder="1"/>
    <xf numFmtId="174" fontId="8" fillId="5" borderId="20" xfId="6" applyNumberFormat="1" applyFont="1" applyFill="1" applyBorder="1" applyAlignment="1">
      <alignment horizontal="center" wrapText="1"/>
    </xf>
    <xf numFmtId="174" fontId="6" fillId="2" borderId="17" xfId="6" applyNumberFormat="1" applyFont="1" applyFill="1" applyBorder="1" applyAlignment="1">
      <alignment horizontal="center"/>
    </xf>
    <xf numFmtId="174" fontId="6" fillId="2" borderId="17" xfId="6" applyNumberFormat="1" applyFont="1" applyFill="1" applyBorder="1"/>
    <xf numFmtId="10" fontId="7" fillId="6" borderId="23" xfId="6" applyNumberFormat="1" applyFont="1" applyFill="1" applyBorder="1" applyAlignment="1">
      <alignment horizontal="right"/>
    </xf>
    <xf numFmtId="0" fontId="7" fillId="0" borderId="0" xfId="0" applyFont="1" applyFill="1"/>
    <xf numFmtId="0" fontId="12" fillId="0" borderId="0" xfId="0" applyFont="1" applyAlignment="1">
      <alignment horizontal="center" vertical="center"/>
    </xf>
    <xf numFmtId="176" fontId="6" fillId="2" borderId="0" xfId="6" applyNumberFormat="1" applyFont="1" applyFill="1"/>
    <xf numFmtId="169" fontId="0" fillId="2" borderId="0" xfId="0" applyNumberFormat="1" applyFill="1"/>
    <xf numFmtId="169" fontId="0" fillId="2" borderId="0" xfId="5" applyNumberFormat="1" applyFont="1" applyFill="1"/>
    <xf numFmtId="43" fontId="0" fillId="2" borderId="0" xfId="0" applyNumberFormat="1" applyFill="1"/>
    <xf numFmtId="174" fontId="6" fillId="0" borderId="22" xfId="0" applyNumberFormat="1" applyFont="1" applyBorder="1"/>
    <xf numFmtId="169" fontId="6" fillId="2" borderId="0" xfId="5" applyNumberFormat="1" applyFont="1" applyFill="1" applyBorder="1"/>
    <xf numFmtId="44" fontId="6" fillId="0" borderId="17" xfId="1" applyNumberFormat="1" applyFont="1" applyFill="1" applyBorder="1"/>
    <xf numFmtId="177" fontId="6" fillId="4" borderId="20" xfId="6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/>
    <xf numFmtId="0" fontId="7" fillId="2" borderId="19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66" fontId="6" fillId="2" borderId="0" xfId="0" applyNumberFormat="1" applyFont="1" applyFill="1"/>
    <xf numFmtId="177" fontId="6" fillId="4" borderId="20" xfId="6" applyNumberFormat="1" applyFont="1" applyFill="1" applyBorder="1" applyAlignment="1">
      <alignment horizontal="center"/>
    </xf>
    <xf numFmtId="177" fontId="7" fillId="6" borderId="20" xfId="6" applyNumberFormat="1" applyFont="1" applyFill="1" applyBorder="1" applyAlignment="1">
      <alignment horizontal="center"/>
    </xf>
    <xf numFmtId="177" fontId="6" fillId="2" borderId="20" xfId="6" applyNumberFormat="1" applyFont="1" applyFill="1" applyBorder="1" applyAlignment="1">
      <alignment horizontal="center" wrapText="1"/>
    </xf>
    <xf numFmtId="177" fontId="6" fillId="2" borderId="20" xfId="6" applyNumberFormat="1" applyFont="1" applyFill="1" applyBorder="1" applyAlignment="1">
      <alignment horizontal="center"/>
    </xf>
    <xf numFmtId="177" fontId="8" fillId="5" borderId="20" xfId="6" applyNumberFormat="1" applyFont="1" applyFill="1" applyBorder="1" applyAlignment="1">
      <alignment horizontal="center" wrapText="1"/>
    </xf>
    <xf numFmtId="0" fontId="0" fillId="0" borderId="0" xfId="0" applyFill="1"/>
    <xf numFmtId="0" fontId="13" fillId="2" borderId="0" xfId="0" applyFont="1" applyFill="1" applyAlignment="1">
      <alignment horizontal="left" vertical="center" indent="1"/>
    </xf>
    <xf numFmtId="44" fontId="13" fillId="2" borderId="0" xfId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178" fontId="14" fillId="2" borderId="0" xfId="0" applyNumberFormat="1" applyFont="1" applyFill="1" applyAlignment="1">
      <alignment horizontal="right" vertical="center"/>
    </xf>
    <xf numFmtId="10" fontId="14" fillId="2" borderId="0" xfId="6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/>
    <xf numFmtId="0" fontId="7" fillId="2" borderId="19" xfId="0" applyFont="1" applyFill="1" applyBorder="1" applyAlignment="1"/>
    <xf numFmtId="0" fontId="8" fillId="3" borderId="18" xfId="0" quotePrefix="1" applyFont="1" applyFill="1" applyBorder="1" applyAlignment="1">
      <alignment horizontal="center" vertical="center"/>
    </xf>
    <xf numFmtId="3" fontId="6" fillId="0" borderId="22" xfId="5" applyNumberFormat="1" applyFont="1" applyBorder="1"/>
    <xf numFmtId="167" fontId="6" fillId="0" borderId="22" xfId="5" applyNumberFormat="1" applyFont="1" applyBorder="1"/>
    <xf numFmtId="179" fontId="6" fillId="2" borderId="17" xfId="1" applyNumberFormat="1" applyFont="1" applyFill="1" applyBorder="1"/>
    <xf numFmtId="164" fontId="0" fillId="2" borderId="17" xfId="0" applyNumberFormat="1" applyFont="1" applyFill="1" applyBorder="1" applyAlignment="1">
      <alignment horizontal="center"/>
    </xf>
    <xf numFmtId="166" fontId="0" fillId="6" borderId="20" xfId="5" applyNumberFormat="1" applyFont="1" applyFill="1" applyBorder="1" applyAlignment="1">
      <alignment horizontal="right"/>
    </xf>
    <xf numFmtId="166" fontId="0" fillId="4" borderId="20" xfId="5" applyNumberFormat="1" applyFont="1" applyFill="1" applyBorder="1" applyAlignment="1">
      <alignment horizontal="right" wrapText="1"/>
    </xf>
    <xf numFmtId="4" fontId="8" fillId="3" borderId="20" xfId="5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166" fontId="8" fillId="5" borderId="20" xfId="1" applyNumberFormat="1" applyFont="1" applyFill="1" applyBorder="1" applyAlignment="1">
      <alignment horizontal="center" wrapText="1"/>
    </xf>
    <xf numFmtId="0" fontId="0" fillId="2" borderId="0" xfId="0" applyFill="1"/>
    <xf numFmtId="0" fontId="8" fillId="3" borderId="10" xfId="0" applyFont="1" applyFill="1" applyBorder="1" applyAlignment="1"/>
    <xf numFmtId="0" fontId="0" fillId="4" borderId="21" xfId="0" applyFont="1" applyFill="1" applyBorder="1" applyAlignment="1">
      <alignment horizontal="center" wrapText="1"/>
    </xf>
    <xf numFmtId="0" fontId="0" fillId="6" borderId="21" xfId="0" applyFont="1" applyFill="1" applyBorder="1" applyAlignment="1">
      <alignment horizontal="center"/>
    </xf>
    <xf numFmtId="174" fontId="0" fillId="4" borderId="20" xfId="6" applyNumberFormat="1" applyFont="1" applyFill="1" applyBorder="1" applyAlignment="1">
      <alignment horizontal="center" wrapText="1"/>
    </xf>
    <xf numFmtId="166" fontId="0" fillId="6" borderId="20" xfId="5" applyNumberFormat="1" applyFont="1" applyFill="1" applyBorder="1" applyAlignment="1">
      <alignment horizontal="center"/>
    </xf>
    <xf numFmtId="174" fontId="0" fillId="6" borderId="20" xfId="6" applyNumberFormat="1" applyFont="1" applyFill="1" applyBorder="1" applyAlignment="1">
      <alignment horizontal="center"/>
    </xf>
    <xf numFmtId="10" fontId="6" fillId="2" borderId="0" xfId="6" applyNumberFormat="1" applyFont="1" applyFill="1" applyBorder="1"/>
    <xf numFmtId="0" fontId="0" fillId="2" borderId="0" xfId="0" applyFill="1"/>
    <xf numFmtId="169" fontId="6" fillId="2" borderId="0" xfId="0" applyNumberFormat="1" applyFont="1" applyFill="1"/>
    <xf numFmtId="180" fontId="6" fillId="2" borderId="17" xfId="6" applyNumberFormat="1" applyFont="1" applyFill="1" applyBorder="1" applyAlignment="1">
      <alignment horizontal="center"/>
    </xf>
    <xf numFmtId="169" fontId="6" fillId="2" borderId="0" xfId="5" applyNumberFormat="1" applyFont="1" applyFill="1"/>
    <xf numFmtId="0" fontId="6" fillId="0" borderId="22" xfId="5" applyNumberFormat="1" applyFont="1" applyBorder="1"/>
    <xf numFmtId="0" fontId="0" fillId="2" borderId="0" xfId="0" applyFill="1"/>
    <xf numFmtId="0" fontId="0" fillId="0" borderId="0" xfId="0" applyFont="1" applyFill="1"/>
    <xf numFmtId="0" fontId="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169" fontId="0" fillId="2" borderId="0" xfId="0" applyNumberFormat="1" applyFont="1" applyFill="1"/>
    <xf numFmtId="10" fontId="6" fillId="2" borderId="0" xfId="6" applyNumberFormat="1" applyFont="1" applyFill="1"/>
    <xf numFmtId="0" fontId="16" fillId="0" borderId="0" xfId="11" applyFont="1"/>
    <xf numFmtId="169" fontId="16" fillId="0" borderId="0" xfId="11" applyNumberFormat="1" applyFont="1"/>
    <xf numFmtId="0" fontId="19" fillId="0" borderId="0" xfId="11" applyFont="1"/>
    <xf numFmtId="0" fontId="17" fillId="3" borderId="27" xfId="11" applyFont="1" applyFill="1" applyBorder="1" applyAlignment="1">
      <alignment horizontal="center" vertical="center"/>
    </xf>
    <xf numFmtId="181" fontId="17" fillId="3" borderId="27" xfId="12" applyNumberFormat="1" applyFont="1" applyFill="1" applyBorder="1" applyAlignment="1">
      <alignment horizontal="center"/>
    </xf>
    <xf numFmtId="0" fontId="16" fillId="0" borderId="27" xfId="11" applyFont="1" applyBorder="1"/>
    <xf numFmtId="169" fontId="16" fillId="0" borderId="27" xfId="12" applyNumberFormat="1" applyFont="1" applyBorder="1"/>
    <xf numFmtId="10" fontId="19" fillId="0" borderId="27" xfId="13" applyNumberFormat="1" applyFont="1" applyFill="1" applyBorder="1"/>
    <xf numFmtId="10" fontId="16" fillId="0" borderId="27" xfId="13" applyNumberFormat="1" applyFont="1" applyBorder="1"/>
    <xf numFmtId="0" fontId="22" fillId="6" borderId="23" xfId="0" applyFont="1" applyFill="1" applyBorder="1" applyAlignment="1">
      <alignment horizontal="left"/>
    </xf>
    <xf numFmtId="182" fontId="22" fillId="6" borderId="23" xfId="5" applyNumberFormat="1" applyFont="1" applyFill="1" applyBorder="1" applyAlignment="1">
      <alignment horizontal="left"/>
    </xf>
    <xf numFmtId="182" fontId="16" fillId="0" borderId="27" xfId="5" applyNumberFormat="1" applyFont="1" applyBorder="1"/>
    <xf numFmtId="0" fontId="21" fillId="2" borderId="0" xfId="11" applyFont="1" applyFill="1"/>
    <xf numFmtId="183" fontId="21" fillId="2" borderId="0" xfId="11" applyNumberFormat="1" applyFont="1" applyFill="1"/>
    <xf numFmtId="180" fontId="21" fillId="2" borderId="0" xfId="13" applyNumberFormat="1" applyFont="1" applyFill="1" applyBorder="1"/>
    <xf numFmtId="0" fontId="19" fillId="2" borderId="0" xfId="11" applyFont="1" applyFill="1"/>
    <xf numFmtId="0" fontId="23" fillId="2" borderId="0" xfId="11" applyFont="1" applyFill="1"/>
    <xf numFmtId="180" fontId="23" fillId="2" borderId="0" xfId="11" applyNumberFormat="1" applyFont="1" applyFill="1"/>
    <xf numFmtId="10" fontId="22" fillId="6" borderId="23" xfId="6" applyNumberFormat="1" applyFont="1" applyFill="1" applyBorder="1" applyAlignment="1">
      <alignment horizontal="left"/>
    </xf>
    <xf numFmtId="182" fontId="16" fillId="0" borderId="27" xfId="12" applyNumberFormat="1" applyFont="1" applyBorder="1"/>
    <xf numFmtId="182" fontId="19" fillId="0" borderId="27" xfId="5" applyNumberFormat="1" applyFont="1" applyFill="1" applyBorder="1"/>
    <xf numFmtId="180" fontId="22" fillId="6" borderId="23" xfId="6" applyNumberFormat="1" applyFont="1" applyFill="1" applyBorder="1" applyAlignment="1">
      <alignment horizontal="right"/>
    </xf>
    <xf numFmtId="180" fontId="8" fillId="5" borderId="24" xfId="6" applyNumberFormat="1" applyFont="1" applyFill="1" applyBorder="1" applyAlignment="1">
      <alignment horizontal="center" wrapText="1"/>
    </xf>
    <xf numFmtId="15" fontId="19" fillId="2" borderId="27" xfId="11" applyNumberFormat="1" applyFont="1" applyFill="1" applyBorder="1"/>
    <xf numFmtId="0" fontId="19" fillId="2" borderId="27" xfId="11" applyFont="1" applyFill="1" applyBorder="1"/>
    <xf numFmtId="0" fontId="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0" fillId="2" borderId="0" xfId="0" applyFill="1"/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center" wrapText="1"/>
    </xf>
    <xf numFmtId="0" fontId="19" fillId="2" borderId="27" xfId="11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left" wrapText="1"/>
    </xf>
    <xf numFmtId="0" fontId="0" fillId="2" borderId="0" xfId="0" applyFont="1" applyFill="1" applyAlignment="1">
      <alignment horizontal="center" vertical="center" wrapText="1"/>
    </xf>
  </cellXfs>
  <cellStyles count="14">
    <cellStyle name="INPUT" xfId="7" xr:uid="{4E764902-46D0-4AD2-A337-4E8F5F1994DB}"/>
    <cellStyle name="Moeda" xfId="1" builtinId="4"/>
    <cellStyle name="Moeda 2" xfId="10" xr:uid="{DF6D65DE-7F02-41DE-9CC0-3F87599CB913}"/>
    <cellStyle name="Normal" xfId="0" builtinId="0" customBuiltin="1"/>
    <cellStyle name="Normal 2" xfId="2" xr:uid="{0A1FEE7F-2E83-4643-8505-471AB226A8D9}"/>
    <cellStyle name="Normal 2 2" xfId="3" xr:uid="{084E61E5-D789-4162-BABF-BDB9EF2D552D}"/>
    <cellStyle name="Normal 3" xfId="11" xr:uid="{D0123F85-BED5-444B-B07F-E72109FE994C}"/>
    <cellStyle name="Porcentagem" xfId="6" builtinId="5"/>
    <cellStyle name="Porcentagem 2" xfId="13" xr:uid="{D9CA6A94-C967-45F8-80D4-712E98B0786C}"/>
    <cellStyle name="Vírgula" xfId="5" builtinId="3"/>
    <cellStyle name="Vírgula 2" xfId="4" xr:uid="{906264EC-748E-4A04-B0C7-FA82C5150509}"/>
    <cellStyle name="Vírgula 3" xfId="9" xr:uid="{3F9E6D20-2597-45E6-B8A1-BA7659D7722C}"/>
    <cellStyle name="Vírgula 3 2" xfId="8" xr:uid="{C00EFCFE-9557-4120-A1A2-535D5D3D9314}"/>
    <cellStyle name="Vírgula 4" xfId="12" xr:uid="{B7B92D5D-4C1F-4526-8865-59F97D11B6FB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Composição da Tarifa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8F-4B3C-95BB-B692E3A853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8F-4B3C-95BB-B692E3A853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8F-4B3C-95BB-B692E3A853F9}"/>
              </c:ext>
            </c:extLst>
          </c:dPt>
          <c:dLbls>
            <c:dLbl>
              <c:idx val="0"/>
              <c:layout>
                <c:manualLayout>
                  <c:x val="-6.0605935023672286E-2"/>
                  <c:y val="-0.23326267307097284"/>
                </c:manualLayout>
              </c:layout>
              <c:tx>
                <c:rich>
                  <a:bodyPr/>
                  <a:lstStyle/>
                  <a:p>
                    <a:fld id="{9FF178D5-4727-423B-86B6-6BE7AE73A5B0}" type="CATEGORYNAME">
                      <a:rPr lang="en-US"/>
                      <a:pPr/>
                      <a:t>[NOME DA CATEGORIA]</a:t>
                    </a:fld>
                    <a:r>
                      <a:rPr lang="en-US" b="1" baseline="0"/>
                      <a:t>; </a:t>
                    </a:r>
                    <a:fld id="{E4FBE161-435D-4D45-BEAF-600B0F866FD7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88995215311003"/>
                      <c:h val="0.181595682693716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08F-4B3C-95BB-B692E3A853F9}"/>
                </c:ext>
              </c:extLst>
            </c:dLbl>
            <c:dLbl>
              <c:idx val="1"/>
              <c:layout>
                <c:manualLayout>
                  <c:x val="-3.2862901706664643E-2"/>
                  <c:y val="0.1135544971741853"/>
                </c:manualLayout>
              </c:layout>
              <c:tx>
                <c:rich>
                  <a:bodyPr/>
                  <a:lstStyle/>
                  <a:p>
                    <a:fld id="{C44359DE-3A7D-45B1-80E7-8CC55D5DE696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  <a:fld id="{DD4FBC0D-0745-4384-A3B7-7ADF0AF4D63B}" type="VALUE">
                      <a:rPr lang="en-US" b="1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8F-4B3C-95BB-B692E3A853F9}"/>
                </c:ext>
              </c:extLst>
            </c:dLbl>
            <c:dLbl>
              <c:idx val="2"/>
              <c:layout>
                <c:manualLayout>
                  <c:x val="4.4027176028833687E-2"/>
                  <c:y val="1.5670372855020154E-2"/>
                </c:manualLayout>
              </c:layout>
              <c:tx>
                <c:rich>
                  <a:bodyPr/>
                  <a:lstStyle/>
                  <a:p>
                    <a:fld id="{5447FF54-8880-41BA-B3C5-95DD19F1BF46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  <a:fld id="{0972BC2F-B3E3-43BB-9DAE-BB9B5DEA2CD8}" type="VALUE">
                      <a:rPr lang="en-US" b="1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874003189792659"/>
                      <c:h val="0.126410772452904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8F-4B3C-95BB-B692E3A85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('R-TarifaRTP-2021'!$A$14,'R-TarifaRTP-2021'!$A$21,'R-TarifaRTP-2021'!$A$24)</c:f>
              <c:strCache>
                <c:ptCount val="3"/>
                <c:pt idx="0">
                  <c:v>Tarifa P0 Água+Esgoto (TB)</c:v>
                </c:pt>
                <c:pt idx="1">
                  <c:v>Tarifa Parcela A (TA)</c:v>
                </c:pt>
                <c:pt idx="2">
                  <c:v>Compensações</c:v>
                </c:pt>
              </c:strCache>
            </c:strRef>
          </c:cat>
          <c:val>
            <c:numRef>
              <c:f>('R-TarifaRTP-2021'!$C$14,'R-TarifaRTP-2021'!$C$21,'R-TarifaRTP-2021'!$C$24)</c:f>
              <c:numCache>
                <c:formatCode>0.0%</c:formatCode>
                <c:ptCount val="3"/>
                <c:pt idx="0">
                  <c:v>0.78577476956103698</c:v>
                </c:pt>
                <c:pt idx="1">
                  <c:v>0.13745037494486104</c:v>
                </c:pt>
                <c:pt idx="2">
                  <c:v>7.6775946834592212E-2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B3C-95BB-B692E3A85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407334</xdr:colOff>
      <xdr:row>49</xdr:row>
      <xdr:rowOff>47065</xdr:rowOff>
    </xdr:from>
    <xdr:to>
      <xdr:col>1</xdr:col>
      <xdr:colOff>114860</xdr:colOff>
      <xdr:row>50</xdr:row>
      <xdr:rowOff>123265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7DC44EA6-45E8-4F19-82B2-2A388B732E66}"/>
            </a:ext>
          </a:extLst>
        </xdr:cNvPr>
        <xdr:cNvSpPr/>
      </xdr:nvSpPr>
      <xdr:spPr>
        <a:xfrm>
          <a:off x="407334" y="8641977"/>
          <a:ext cx="1466850" cy="2667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I-Dados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461963</xdr:colOff>
      <xdr:row>47</xdr:row>
      <xdr:rowOff>168275</xdr:rowOff>
    </xdr:from>
    <xdr:to>
      <xdr:col>2</xdr:col>
      <xdr:colOff>1938338</xdr:colOff>
      <xdr:row>49</xdr:row>
      <xdr:rowOff>44450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340DE87C-FDB2-442B-8356-2AB315BB8156}"/>
            </a:ext>
          </a:extLst>
        </xdr:cNvPr>
        <xdr:cNvSpPr/>
      </xdr:nvSpPr>
      <xdr:spPr>
        <a:xfrm>
          <a:off x="4700588" y="5826125"/>
          <a:ext cx="1476375" cy="295275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A-Tarifa-P0</a:t>
          </a:r>
        </a:p>
      </xdr:txBody>
    </xdr:sp>
    <xdr:clientData/>
  </xdr:twoCellAnchor>
  <xdr:twoCellAnchor>
    <xdr:from>
      <xdr:col>2</xdr:col>
      <xdr:colOff>461963</xdr:colOff>
      <xdr:row>50</xdr:row>
      <xdr:rowOff>137246</xdr:rowOff>
    </xdr:from>
    <xdr:to>
      <xdr:col>2</xdr:col>
      <xdr:colOff>1938338</xdr:colOff>
      <xdr:row>51</xdr:row>
      <xdr:rowOff>186603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3BAD4A2C-98D1-4AC4-934C-261433B72B8C}"/>
            </a:ext>
          </a:extLst>
        </xdr:cNvPr>
        <xdr:cNvSpPr/>
      </xdr:nvSpPr>
      <xdr:spPr>
        <a:xfrm>
          <a:off x="4171110" y="9684658"/>
          <a:ext cx="1476375" cy="239857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A-Fator-X</a:t>
          </a:r>
        </a:p>
      </xdr:txBody>
    </xdr:sp>
    <xdr:clientData/>
  </xdr:twoCellAnchor>
  <xdr:twoCellAnchor>
    <xdr:from>
      <xdr:col>3</xdr:col>
      <xdr:colOff>1608604</xdr:colOff>
      <xdr:row>50</xdr:row>
      <xdr:rowOff>126632</xdr:rowOff>
    </xdr:from>
    <xdr:to>
      <xdr:col>4</xdr:col>
      <xdr:colOff>1949823</xdr:colOff>
      <xdr:row>52</xdr:row>
      <xdr:rowOff>2807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6F4B832-79C7-43FC-B8CE-6B719B524B69}"/>
            </a:ext>
          </a:extLst>
        </xdr:cNvPr>
        <xdr:cNvSpPr/>
      </xdr:nvSpPr>
      <xdr:spPr>
        <a:xfrm>
          <a:off x="7334810" y="9674044"/>
          <a:ext cx="1954866" cy="257175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R-TarifaRTP-2021</a:t>
          </a:r>
        </a:p>
      </xdr:txBody>
    </xdr:sp>
    <xdr:clientData/>
  </xdr:twoCellAnchor>
  <xdr:twoCellAnchor>
    <xdr:from>
      <xdr:col>1</xdr:col>
      <xdr:colOff>114860</xdr:colOff>
      <xdr:row>48</xdr:row>
      <xdr:rowOff>106363</xdr:rowOff>
    </xdr:from>
    <xdr:to>
      <xdr:col>2</xdr:col>
      <xdr:colOff>461963</xdr:colOff>
      <xdr:row>49</xdr:row>
      <xdr:rowOff>180415</xdr:rowOff>
    </xdr:to>
    <xdr:cxnSp macro="">
      <xdr:nvCxnSpPr>
        <xdr:cNvPr id="20" name="Conector: Angulado 19">
          <a:extLst>
            <a:ext uri="{FF2B5EF4-FFF2-40B4-BE49-F238E27FC236}">
              <a16:creationId xmlns:a16="http://schemas.microsoft.com/office/drawing/2014/main" id="{EF4B5243-126A-452F-9CD8-E02B46E47D78}"/>
            </a:ext>
          </a:extLst>
        </xdr:cNvPr>
        <xdr:cNvCxnSpPr>
          <a:stCxn id="4" idx="3"/>
          <a:endCxn id="10" idx="1"/>
        </xdr:cNvCxnSpPr>
      </xdr:nvCxnSpPr>
      <xdr:spPr>
        <a:xfrm flipV="1">
          <a:off x="1874184" y="8510775"/>
          <a:ext cx="2296926" cy="26455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1938338</xdr:colOff>
      <xdr:row>48</xdr:row>
      <xdr:rowOff>106363</xdr:rowOff>
    </xdr:from>
    <xdr:to>
      <xdr:col>3</xdr:col>
      <xdr:colOff>1608604</xdr:colOff>
      <xdr:row>51</xdr:row>
      <xdr:rowOff>64720</xdr:rowOff>
    </xdr:to>
    <xdr:cxnSp macro="">
      <xdr:nvCxnSpPr>
        <xdr:cNvPr id="53" name="Conector: Angulado 52">
          <a:extLst>
            <a:ext uri="{FF2B5EF4-FFF2-40B4-BE49-F238E27FC236}">
              <a16:creationId xmlns:a16="http://schemas.microsoft.com/office/drawing/2014/main" id="{D4E470E0-8498-4CB2-88C1-CB1BB3A9A964}"/>
            </a:ext>
          </a:extLst>
        </xdr:cNvPr>
        <xdr:cNvCxnSpPr>
          <a:stCxn id="10" idx="3"/>
          <a:endCxn id="12" idx="1"/>
        </xdr:cNvCxnSpPr>
      </xdr:nvCxnSpPr>
      <xdr:spPr>
        <a:xfrm>
          <a:off x="5647485" y="9272775"/>
          <a:ext cx="1687325" cy="529857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1938338</xdr:colOff>
      <xdr:row>51</xdr:row>
      <xdr:rowOff>64720</xdr:rowOff>
    </xdr:from>
    <xdr:to>
      <xdr:col>3</xdr:col>
      <xdr:colOff>1608604</xdr:colOff>
      <xdr:row>51</xdr:row>
      <xdr:rowOff>66675</xdr:rowOff>
    </xdr:to>
    <xdr:cxnSp macro="">
      <xdr:nvCxnSpPr>
        <xdr:cNvPr id="56" name="Conector: Angulado 55">
          <a:extLst>
            <a:ext uri="{FF2B5EF4-FFF2-40B4-BE49-F238E27FC236}">
              <a16:creationId xmlns:a16="http://schemas.microsoft.com/office/drawing/2014/main" id="{7960BAEB-8100-4A4B-A035-682E921471DF}"/>
            </a:ext>
          </a:extLst>
        </xdr:cNvPr>
        <xdr:cNvCxnSpPr>
          <a:stCxn id="11" idx="3"/>
          <a:endCxn id="12" idx="1"/>
        </xdr:cNvCxnSpPr>
      </xdr:nvCxnSpPr>
      <xdr:spPr>
        <a:xfrm flipV="1">
          <a:off x="5647485" y="9802632"/>
          <a:ext cx="1687325" cy="195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22413</xdr:colOff>
      <xdr:row>0</xdr:row>
      <xdr:rowOff>156884</xdr:rowOff>
    </xdr:from>
    <xdr:to>
      <xdr:col>1</xdr:col>
      <xdr:colOff>60567</xdr:colOff>
      <xdr:row>4</xdr:row>
      <xdr:rowOff>19731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A763CC52-CECF-4132-A11D-090FAFE08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3" y="156884"/>
          <a:ext cx="1797478" cy="624847"/>
        </a:xfrm>
        <a:prstGeom prst="rect">
          <a:avLst/>
        </a:prstGeom>
      </xdr:spPr>
    </xdr:pic>
    <xdr:clientData/>
  </xdr:twoCellAnchor>
  <xdr:twoCellAnchor>
    <xdr:from>
      <xdr:col>1</xdr:col>
      <xdr:colOff>114860</xdr:colOff>
      <xdr:row>49</xdr:row>
      <xdr:rowOff>180415</xdr:rowOff>
    </xdr:from>
    <xdr:to>
      <xdr:col>2</xdr:col>
      <xdr:colOff>461963</xdr:colOff>
      <xdr:row>51</xdr:row>
      <xdr:rowOff>66675</xdr:rowOff>
    </xdr:to>
    <xdr:cxnSp macro="">
      <xdr:nvCxnSpPr>
        <xdr:cNvPr id="22" name="Conector: Angulado 21">
          <a:extLst>
            <a:ext uri="{FF2B5EF4-FFF2-40B4-BE49-F238E27FC236}">
              <a16:creationId xmlns:a16="http://schemas.microsoft.com/office/drawing/2014/main" id="{7145A060-2F80-4AD1-A631-549A5B175560}"/>
            </a:ext>
          </a:extLst>
        </xdr:cNvPr>
        <xdr:cNvCxnSpPr>
          <a:stCxn id="4" idx="3"/>
          <a:endCxn id="11" idx="1"/>
        </xdr:cNvCxnSpPr>
      </xdr:nvCxnSpPr>
      <xdr:spPr>
        <a:xfrm>
          <a:off x="1874184" y="8775327"/>
          <a:ext cx="2296926" cy="26726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1200151</xdr:colOff>
      <xdr:row>49</xdr:row>
      <xdr:rowOff>44450</xdr:rowOff>
    </xdr:from>
    <xdr:to>
      <xdr:col>2</xdr:col>
      <xdr:colOff>1200151</xdr:colOff>
      <xdr:row>50</xdr:row>
      <xdr:rowOff>137246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E226D8E9-38FA-4182-8DFB-B3D5A2E76BA4}"/>
            </a:ext>
          </a:extLst>
        </xdr:cNvPr>
        <xdr:cNvCxnSpPr>
          <a:stCxn id="10" idx="2"/>
          <a:endCxn id="11" idx="0"/>
        </xdr:cNvCxnSpPr>
      </xdr:nvCxnSpPr>
      <xdr:spPr>
        <a:xfrm>
          <a:off x="4909298" y="7686862"/>
          <a:ext cx="0" cy="28329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407334</xdr:colOff>
      <xdr:row>52</xdr:row>
      <xdr:rowOff>147918</xdr:rowOff>
    </xdr:from>
    <xdr:to>
      <xdr:col>1</xdr:col>
      <xdr:colOff>114860</xdr:colOff>
      <xdr:row>54</xdr:row>
      <xdr:rowOff>33618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BAB14109-C9BA-4886-BFF6-2BD771700CBA}"/>
            </a:ext>
          </a:extLst>
        </xdr:cNvPr>
        <xdr:cNvSpPr/>
      </xdr:nvSpPr>
      <xdr:spPr>
        <a:xfrm>
          <a:off x="407334" y="10076330"/>
          <a:ext cx="1466850" cy="2667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I-TarifaVerificada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459441</xdr:colOff>
      <xdr:row>52</xdr:row>
      <xdr:rowOff>156882</xdr:rowOff>
    </xdr:from>
    <xdr:to>
      <xdr:col>2</xdr:col>
      <xdr:colOff>1935816</xdr:colOff>
      <xdr:row>54</xdr:row>
      <xdr:rowOff>15739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DD368FE6-AE49-49D8-A2C6-9E15142E30DD}"/>
            </a:ext>
          </a:extLst>
        </xdr:cNvPr>
        <xdr:cNvSpPr/>
      </xdr:nvSpPr>
      <xdr:spPr>
        <a:xfrm>
          <a:off x="4168588" y="10085294"/>
          <a:ext cx="1476375" cy="239857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A-DiferençaMédia</a:t>
          </a:r>
        </a:p>
      </xdr:txBody>
    </xdr:sp>
    <xdr:clientData/>
  </xdr:twoCellAnchor>
  <xdr:twoCellAnchor>
    <xdr:from>
      <xdr:col>1</xdr:col>
      <xdr:colOff>114860</xdr:colOff>
      <xdr:row>53</xdr:row>
      <xdr:rowOff>86311</xdr:rowOff>
    </xdr:from>
    <xdr:to>
      <xdr:col>2</xdr:col>
      <xdr:colOff>459441</xdr:colOff>
      <xdr:row>53</xdr:row>
      <xdr:rowOff>90768</xdr:rowOff>
    </xdr:to>
    <xdr:cxnSp macro="">
      <xdr:nvCxnSpPr>
        <xdr:cNvPr id="18" name="Conector: Angulado 17">
          <a:extLst>
            <a:ext uri="{FF2B5EF4-FFF2-40B4-BE49-F238E27FC236}">
              <a16:creationId xmlns:a16="http://schemas.microsoft.com/office/drawing/2014/main" id="{21A15DB5-F86C-442A-9163-1220DD715C29}"/>
            </a:ext>
          </a:extLst>
        </xdr:cNvPr>
        <xdr:cNvCxnSpPr>
          <a:stCxn id="13" idx="3"/>
          <a:endCxn id="17" idx="1"/>
        </xdr:cNvCxnSpPr>
      </xdr:nvCxnSpPr>
      <xdr:spPr>
        <a:xfrm flipV="1">
          <a:off x="1874184" y="10205223"/>
          <a:ext cx="2294404" cy="4457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1935816</xdr:colOff>
      <xdr:row>51</xdr:row>
      <xdr:rowOff>64720</xdr:rowOff>
    </xdr:from>
    <xdr:to>
      <xdr:col>3</xdr:col>
      <xdr:colOff>1608604</xdr:colOff>
      <xdr:row>53</xdr:row>
      <xdr:rowOff>86311</xdr:rowOff>
    </xdr:to>
    <xdr:cxnSp macro="">
      <xdr:nvCxnSpPr>
        <xdr:cNvPr id="21" name="Conector: Angulado 20">
          <a:extLst>
            <a:ext uri="{FF2B5EF4-FFF2-40B4-BE49-F238E27FC236}">
              <a16:creationId xmlns:a16="http://schemas.microsoft.com/office/drawing/2014/main" id="{79ED232B-F0D8-4974-BA9E-4D2C4F5B3FFD}"/>
            </a:ext>
          </a:extLst>
        </xdr:cNvPr>
        <xdr:cNvCxnSpPr>
          <a:stCxn id="17" idx="3"/>
          <a:endCxn id="12" idx="1"/>
        </xdr:cNvCxnSpPr>
      </xdr:nvCxnSpPr>
      <xdr:spPr>
        <a:xfrm flipV="1">
          <a:off x="5644963" y="9802632"/>
          <a:ext cx="1689847" cy="402591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33618</xdr:colOff>
      <xdr:row>4</xdr:row>
      <xdr:rowOff>78439</xdr:rowOff>
    </xdr:from>
    <xdr:to>
      <xdr:col>8</xdr:col>
      <xdr:colOff>1557618</xdr:colOff>
      <xdr:row>17</xdr:row>
      <xdr:rowOff>145676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0FDDD3-B3F3-4B6D-A712-9E063C0B3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3-Trabalhos/2-Modelo%20Financeiro/Planilhas/Anexo_4_P0_2017_256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Docs/Material%201%20RTP/Planilhas/Anexo_4_P0_2017_256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pa"/>
      <sheetName val="Pedido_Info"/>
      <sheetName val="Dados_Entrada"/>
      <sheetName val="P0_Sanepar"/>
      <sheetName val="Fator X"/>
      <sheetName val="Tarifa_Media 2016"/>
      <sheetName val="Resultados"/>
    </sheetNames>
    <sheetDataSet>
      <sheetData sheetId="0"/>
      <sheetData sheetId="1" refreshError="1"/>
      <sheetData sheetId="2" refreshError="1"/>
      <sheetData sheetId="3" refreshError="1"/>
      <sheetData sheetId="4">
        <row r="5">
          <cell r="I5">
            <v>3.8776207413002468</v>
          </cell>
          <cell r="P5">
            <v>3.9399176981078075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dido_Info"/>
      <sheetName val="Dados_Entrada"/>
      <sheetName val="P0_Sanepar"/>
      <sheetName val="Fator X"/>
      <sheetName val="Tarifa_Media 2016"/>
      <sheetName val="Resultados"/>
      <sheetName val="Mapa"/>
    </sheetNames>
    <sheetDataSet>
      <sheetData sheetId="0" refreshError="1">
        <row r="20">
          <cell r="D20">
            <v>2020</v>
          </cell>
        </row>
      </sheetData>
      <sheetData sheetId="1" refreshError="1"/>
      <sheetData sheetId="2" refreshError="1"/>
      <sheetData sheetId="3" refreshError="1">
        <row r="5">
          <cell r="B5">
            <v>3.9038925776633917</v>
          </cell>
        </row>
      </sheetData>
      <sheetData sheetId="4" refreshError="1">
        <row r="46">
          <cell r="B46">
            <v>7.6825215906122313E-3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10E1-A2E6-4185-A35A-72AAF2AB5D8B}">
  <dimension ref="A6:E56"/>
  <sheetViews>
    <sheetView tabSelected="1" zoomScale="85" zoomScaleNormal="85" workbookViewId="0">
      <selection activeCell="A7" sqref="A7:E25"/>
    </sheetView>
  </sheetViews>
  <sheetFormatPr defaultRowHeight="15" x14ac:dyDescent="0.25"/>
  <cols>
    <col min="1" max="1" width="26.42578125" style="4" customWidth="1"/>
    <col min="2" max="2" width="29.28515625" style="4" customWidth="1"/>
    <col min="3" max="3" width="30.28515625" style="4" customWidth="1"/>
    <col min="4" max="4" width="24.140625" style="4" customWidth="1"/>
    <col min="5" max="5" width="29.7109375" style="4" customWidth="1"/>
    <col min="6" max="16384" width="9.140625" style="4"/>
  </cols>
  <sheetData>
    <row r="6" spans="1:5" x14ac:dyDescent="0.25">
      <c r="A6" s="3" t="s">
        <v>7</v>
      </c>
    </row>
    <row r="7" spans="1:5" x14ac:dyDescent="0.25">
      <c r="A7" s="229" t="s">
        <v>318</v>
      </c>
      <c r="B7" s="230"/>
      <c r="C7" s="230"/>
      <c r="D7" s="230"/>
      <c r="E7" s="231"/>
    </row>
    <row r="8" spans="1:5" x14ac:dyDescent="0.25">
      <c r="A8" s="232"/>
      <c r="B8" s="233"/>
      <c r="C8" s="233"/>
      <c r="D8" s="233"/>
      <c r="E8" s="234"/>
    </row>
    <row r="9" spans="1:5" x14ac:dyDescent="0.25">
      <c r="A9" s="232"/>
      <c r="B9" s="233"/>
      <c r="C9" s="233"/>
      <c r="D9" s="233"/>
      <c r="E9" s="234"/>
    </row>
    <row r="10" spans="1:5" x14ac:dyDescent="0.25">
      <c r="A10" s="232"/>
      <c r="B10" s="233"/>
      <c r="C10" s="233"/>
      <c r="D10" s="233"/>
      <c r="E10" s="234"/>
    </row>
    <row r="11" spans="1:5" x14ac:dyDescent="0.25">
      <c r="A11" s="232"/>
      <c r="B11" s="233"/>
      <c r="C11" s="233"/>
      <c r="D11" s="233"/>
      <c r="E11" s="234"/>
    </row>
    <row r="12" spans="1:5" x14ac:dyDescent="0.25">
      <c r="A12" s="232"/>
      <c r="B12" s="233"/>
      <c r="C12" s="233"/>
      <c r="D12" s="233"/>
      <c r="E12" s="234"/>
    </row>
    <row r="13" spans="1:5" x14ac:dyDescent="0.25">
      <c r="A13" s="232"/>
      <c r="B13" s="233"/>
      <c r="C13" s="233"/>
      <c r="D13" s="233"/>
      <c r="E13" s="234"/>
    </row>
    <row r="14" spans="1:5" x14ac:dyDescent="0.25">
      <c r="A14" s="232"/>
      <c r="B14" s="233"/>
      <c r="C14" s="233"/>
      <c r="D14" s="233"/>
      <c r="E14" s="234"/>
    </row>
    <row r="15" spans="1:5" x14ac:dyDescent="0.25">
      <c r="A15" s="232"/>
      <c r="B15" s="233"/>
      <c r="C15" s="233"/>
      <c r="D15" s="233"/>
      <c r="E15" s="234"/>
    </row>
    <row r="16" spans="1:5" x14ac:dyDescent="0.25">
      <c r="A16" s="232"/>
      <c r="B16" s="233"/>
      <c r="C16" s="233"/>
      <c r="D16" s="233"/>
      <c r="E16" s="234"/>
    </row>
    <row r="17" spans="1:5" x14ac:dyDescent="0.25">
      <c r="A17" s="232"/>
      <c r="B17" s="233"/>
      <c r="C17" s="233"/>
      <c r="D17" s="233"/>
      <c r="E17" s="234"/>
    </row>
    <row r="18" spans="1:5" x14ac:dyDescent="0.25">
      <c r="A18" s="232"/>
      <c r="B18" s="233"/>
      <c r="C18" s="233"/>
      <c r="D18" s="233"/>
      <c r="E18" s="234"/>
    </row>
    <row r="19" spans="1:5" x14ac:dyDescent="0.25">
      <c r="A19" s="232"/>
      <c r="B19" s="233"/>
      <c r="C19" s="233"/>
      <c r="D19" s="233"/>
      <c r="E19" s="234"/>
    </row>
    <row r="20" spans="1:5" x14ac:dyDescent="0.25">
      <c r="A20" s="232"/>
      <c r="B20" s="233"/>
      <c r="C20" s="233"/>
      <c r="D20" s="233"/>
      <c r="E20" s="234"/>
    </row>
    <row r="21" spans="1:5" x14ac:dyDescent="0.25">
      <c r="A21" s="232"/>
      <c r="B21" s="233"/>
      <c r="C21" s="233"/>
      <c r="D21" s="233"/>
      <c r="E21" s="234"/>
    </row>
    <row r="22" spans="1:5" x14ac:dyDescent="0.25">
      <c r="A22" s="232"/>
      <c r="B22" s="233"/>
      <c r="C22" s="233"/>
      <c r="D22" s="233"/>
      <c r="E22" s="234"/>
    </row>
    <row r="23" spans="1:5" x14ac:dyDescent="0.25">
      <c r="A23" s="232"/>
      <c r="B23" s="233"/>
      <c r="C23" s="233"/>
      <c r="D23" s="233"/>
      <c r="E23" s="234"/>
    </row>
    <row r="24" spans="1:5" x14ac:dyDescent="0.25">
      <c r="A24" s="232"/>
      <c r="B24" s="233"/>
      <c r="C24" s="233"/>
      <c r="D24" s="233"/>
      <c r="E24" s="234"/>
    </row>
    <row r="25" spans="1:5" x14ac:dyDescent="0.25">
      <c r="A25" s="235"/>
      <c r="B25" s="236"/>
      <c r="C25" s="236"/>
      <c r="D25" s="236"/>
      <c r="E25" s="237"/>
    </row>
    <row r="27" spans="1:5" x14ac:dyDescent="0.25">
      <c r="A27" s="3" t="s">
        <v>8</v>
      </c>
    </row>
    <row r="28" spans="1:5" x14ac:dyDescent="0.25">
      <c r="A28" s="238" t="s">
        <v>2</v>
      </c>
      <c r="B28" s="239"/>
      <c r="C28" s="239"/>
      <c r="D28" s="239"/>
      <c r="E28" s="240"/>
    </row>
    <row r="29" spans="1:5" x14ac:dyDescent="0.25">
      <c r="A29" s="5"/>
      <c r="B29" s="6"/>
      <c r="C29" s="6"/>
      <c r="D29" s="6"/>
      <c r="E29" s="7"/>
    </row>
    <row r="30" spans="1:5" ht="16.5" customHeight="1" x14ac:dyDescent="0.25">
      <c r="A30" s="232" t="s">
        <v>3</v>
      </c>
      <c r="B30" s="233"/>
      <c r="C30" s="233"/>
      <c r="D30" s="233"/>
      <c r="E30" s="234"/>
    </row>
    <row r="31" spans="1:5" x14ac:dyDescent="0.25">
      <c r="A31" s="232"/>
      <c r="B31" s="233"/>
      <c r="C31" s="233"/>
      <c r="D31" s="233"/>
      <c r="E31" s="234"/>
    </row>
    <row r="32" spans="1:5" x14ac:dyDescent="0.25">
      <c r="A32" s="8"/>
      <c r="B32" s="9"/>
      <c r="C32" s="9"/>
      <c r="D32" s="9"/>
      <c r="E32" s="10"/>
    </row>
    <row r="33" spans="1:5" x14ac:dyDescent="0.25">
      <c r="A33" s="241" t="s">
        <v>0</v>
      </c>
      <c r="B33" s="227"/>
      <c r="C33" s="227"/>
      <c r="D33" s="227"/>
      <c r="E33" s="228"/>
    </row>
    <row r="35" spans="1:5" x14ac:dyDescent="0.25">
      <c r="A35" s="3" t="s">
        <v>9</v>
      </c>
    </row>
    <row r="36" spans="1:5" x14ac:dyDescent="0.25">
      <c r="A36" s="11" t="s">
        <v>1</v>
      </c>
      <c r="B36" s="223" t="s">
        <v>10</v>
      </c>
      <c r="C36" s="224"/>
      <c r="D36" s="224"/>
      <c r="E36" s="225"/>
    </row>
    <row r="37" spans="1:5" x14ac:dyDescent="0.25">
      <c r="A37" s="27" t="s">
        <v>20</v>
      </c>
      <c r="B37" s="220" t="s">
        <v>23</v>
      </c>
      <c r="C37" s="221"/>
      <c r="D37" s="221"/>
      <c r="E37" s="222"/>
    </row>
    <row r="38" spans="1:5" x14ac:dyDescent="0.25">
      <c r="A38" s="27" t="s">
        <v>308</v>
      </c>
      <c r="B38" s="190" t="s">
        <v>309</v>
      </c>
      <c r="C38" s="191"/>
      <c r="D38" s="191"/>
      <c r="E38" s="192"/>
    </row>
    <row r="39" spans="1:5" x14ac:dyDescent="0.25">
      <c r="A39" s="27" t="s">
        <v>310</v>
      </c>
      <c r="B39" s="190" t="s">
        <v>311</v>
      </c>
      <c r="C39" s="191"/>
      <c r="D39" s="191"/>
      <c r="E39" s="192"/>
    </row>
    <row r="40" spans="1:5" x14ac:dyDescent="0.25">
      <c r="A40" s="27" t="s">
        <v>21</v>
      </c>
      <c r="B40" s="220" t="s">
        <v>24</v>
      </c>
      <c r="C40" s="221"/>
      <c r="D40" s="221"/>
      <c r="E40" s="222"/>
    </row>
    <row r="41" spans="1:5" x14ac:dyDescent="0.25">
      <c r="A41" s="27" t="s">
        <v>315</v>
      </c>
      <c r="B41" s="220" t="s">
        <v>25</v>
      </c>
      <c r="C41" s="221"/>
      <c r="D41" s="221"/>
      <c r="E41" s="222"/>
    </row>
    <row r="42" spans="1:5" x14ac:dyDescent="0.25">
      <c r="A42" s="28" t="s">
        <v>22</v>
      </c>
      <c r="B42" s="226" t="s">
        <v>26</v>
      </c>
      <c r="C42" s="227"/>
      <c r="D42" s="227"/>
      <c r="E42" s="228"/>
    </row>
    <row r="44" spans="1:5" x14ac:dyDescent="0.25">
      <c r="A44" s="3" t="s">
        <v>11</v>
      </c>
    </row>
    <row r="45" spans="1:5" x14ac:dyDescent="0.25">
      <c r="A45" s="12"/>
      <c r="B45" s="13"/>
      <c r="C45" s="13"/>
      <c r="D45" s="13"/>
      <c r="E45" s="14"/>
    </row>
    <row r="46" spans="1:5" x14ac:dyDescent="0.25">
      <c r="A46" s="15" t="s">
        <v>4</v>
      </c>
      <c r="B46" s="16"/>
      <c r="C46" s="17" t="s">
        <v>5</v>
      </c>
      <c r="D46" s="16"/>
      <c r="E46" s="18" t="s">
        <v>6</v>
      </c>
    </row>
    <row r="47" spans="1:5" x14ac:dyDescent="0.25">
      <c r="A47" s="19"/>
      <c r="B47" s="16"/>
      <c r="C47" s="16"/>
      <c r="D47" s="16"/>
      <c r="E47" s="20"/>
    </row>
    <row r="48" spans="1:5" x14ac:dyDescent="0.25">
      <c r="A48" s="19"/>
      <c r="B48" s="16"/>
      <c r="C48" s="16"/>
      <c r="D48" s="16"/>
      <c r="E48" s="21"/>
    </row>
    <row r="49" spans="1:5" x14ac:dyDescent="0.25">
      <c r="A49" s="19"/>
      <c r="B49" s="16"/>
      <c r="C49" s="16"/>
      <c r="D49" s="16"/>
      <c r="E49" s="21"/>
    </row>
    <row r="50" spans="1:5" x14ac:dyDescent="0.25">
      <c r="A50" s="19"/>
      <c r="B50" s="16"/>
      <c r="C50" s="16"/>
      <c r="D50" s="16"/>
      <c r="E50" s="20"/>
    </row>
    <row r="51" spans="1:5" x14ac:dyDescent="0.25">
      <c r="A51" s="19"/>
      <c r="B51" s="16"/>
      <c r="C51" s="16"/>
      <c r="D51" s="16"/>
      <c r="E51" s="21"/>
    </row>
    <row r="52" spans="1:5" x14ac:dyDescent="0.25">
      <c r="A52" s="19"/>
      <c r="B52" s="16"/>
      <c r="C52" s="16"/>
      <c r="D52" s="16"/>
      <c r="E52" s="21"/>
    </row>
    <row r="53" spans="1:5" x14ac:dyDescent="0.25">
      <c r="A53" s="19"/>
      <c r="B53" s="16"/>
      <c r="C53" s="16"/>
      <c r="D53" s="16"/>
      <c r="E53" s="21"/>
    </row>
    <row r="54" spans="1:5" x14ac:dyDescent="0.25">
      <c r="A54" s="19"/>
      <c r="B54" s="16"/>
      <c r="C54" s="16"/>
      <c r="D54" s="16"/>
      <c r="E54" s="21"/>
    </row>
    <row r="55" spans="1:5" x14ac:dyDescent="0.25">
      <c r="A55" s="19"/>
      <c r="B55" s="16"/>
      <c r="C55" s="16"/>
      <c r="D55" s="16"/>
      <c r="E55" s="21"/>
    </row>
    <row r="56" spans="1:5" x14ac:dyDescent="0.25">
      <c r="A56" s="22"/>
      <c r="B56" s="23"/>
      <c r="C56" s="23"/>
      <c r="D56" s="23"/>
      <c r="E56" s="24"/>
    </row>
  </sheetData>
  <mergeCells count="9">
    <mergeCell ref="B41:E41"/>
    <mergeCell ref="B36:E36"/>
    <mergeCell ref="B42:E42"/>
    <mergeCell ref="B40:E40"/>
    <mergeCell ref="A7:E25"/>
    <mergeCell ref="A28:E28"/>
    <mergeCell ref="A33:E33"/>
    <mergeCell ref="A30:E31"/>
    <mergeCell ref="B37:E3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C1B5-0F06-43A4-9C13-BD360A074967}">
  <dimension ref="A1:L1048576"/>
  <sheetViews>
    <sheetView zoomScale="85" zoomScaleNormal="85" workbookViewId="0">
      <selection activeCell="D16" sqref="D16"/>
    </sheetView>
  </sheetViews>
  <sheetFormatPr defaultColWidth="0" defaultRowHeight="15" zeroHeight="1" x14ac:dyDescent="0.25"/>
  <cols>
    <col min="1" max="1" width="56.85546875" style="4" customWidth="1"/>
    <col min="2" max="2" width="23.140625" style="4" customWidth="1"/>
    <col min="3" max="3" width="20.140625" style="4" bestFit="1" customWidth="1"/>
    <col min="4" max="4" width="17.42578125" style="4" customWidth="1"/>
    <col min="5" max="5" width="22.28515625" style="4" customWidth="1"/>
    <col min="6" max="6" width="17.28515625" style="4" bestFit="1" customWidth="1"/>
    <col min="7" max="7" width="16.85546875" style="4" bestFit="1" customWidth="1"/>
    <col min="8" max="8" width="12.5703125" style="4" customWidth="1"/>
    <col min="9" max="12" width="9.140625" style="4" customWidth="1"/>
    <col min="13" max="16384" width="9.140625" style="2" hidden="1"/>
  </cols>
  <sheetData>
    <row r="1" spans="1:8" x14ac:dyDescent="0.25">
      <c r="A1" s="137" t="s">
        <v>90</v>
      </c>
    </row>
    <row r="2" spans="1:8" x14ac:dyDescent="0.25">
      <c r="A2" s="25" t="s">
        <v>113</v>
      </c>
      <c r="B2" s="25">
        <v>2020</v>
      </c>
      <c r="C2" s="25">
        <v>2021</v>
      </c>
      <c r="D2" s="25">
        <v>2022</v>
      </c>
      <c r="E2" s="25">
        <v>2023</v>
      </c>
      <c r="F2" s="25">
        <v>2024</v>
      </c>
    </row>
    <row r="3" spans="1:8" x14ac:dyDescent="0.25">
      <c r="A3" s="26" t="s">
        <v>91</v>
      </c>
      <c r="B3" s="71">
        <v>522062601</v>
      </c>
      <c r="C3" s="71">
        <v>527393716</v>
      </c>
      <c r="D3" s="71">
        <v>548051202</v>
      </c>
      <c r="E3" s="71">
        <v>553474720</v>
      </c>
      <c r="F3" s="71">
        <v>561193853</v>
      </c>
    </row>
    <row r="4" spans="1:8" x14ac:dyDescent="0.25">
      <c r="A4" s="26" t="s">
        <v>92</v>
      </c>
      <c r="B4" s="71">
        <v>396232114</v>
      </c>
      <c r="C4" s="71">
        <v>406011301</v>
      </c>
      <c r="D4" s="71">
        <v>428454418</v>
      </c>
      <c r="E4" s="71">
        <v>440306067</v>
      </c>
      <c r="F4" s="71">
        <v>450329703</v>
      </c>
      <c r="H4"/>
    </row>
    <row r="5" spans="1:8" x14ac:dyDescent="0.25">
      <c r="A5" s="55" t="s">
        <v>93</v>
      </c>
      <c r="B5" s="72">
        <f>SUM(B3:B4)</f>
        <v>918294715</v>
      </c>
      <c r="C5" s="72">
        <f>SUM(C3:C4)</f>
        <v>933405017</v>
      </c>
      <c r="D5" s="72">
        <f t="shared" ref="D5:F5" si="0">SUM(D3:D4)</f>
        <v>976505620</v>
      </c>
      <c r="E5" s="72">
        <f t="shared" si="0"/>
        <v>993780787</v>
      </c>
      <c r="F5" s="72">
        <f t="shared" si="0"/>
        <v>1011523556</v>
      </c>
    </row>
    <row r="6" spans="1:8" x14ac:dyDescent="0.25">
      <c r="A6" s="26" t="s">
        <v>94</v>
      </c>
      <c r="B6" s="71">
        <v>3273807</v>
      </c>
      <c r="C6" s="71">
        <v>3321588</v>
      </c>
      <c r="D6" s="71">
        <v>3372690</v>
      </c>
      <c r="E6" s="71">
        <v>3423218</v>
      </c>
      <c r="F6" s="71">
        <v>3474152</v>
      </c>
    </row>
    <row r="7" spans="1:8" x14ac:dyDescent="0.25">
      <c r="A7" s="26" t="s">
        <v>95</v>
      </c>
      <c r="B7" s="71">
        <v>2308138</v>
      </c>
      <c r="C7" s="71">
        <v>2361986</v>
      </c>
      <c r="D7" s="71">
        <v>2438098</v>
      </c>
      <c r="E7" s="71">
        <v>2535311</v>
      </c>
      <c r="F7" s="71">
        <v>2629834</v>
      </c>
    </row>
    <row r="8" spans="1:8" x14ac:dyDescent="0.25">
      <c r="A8" s="55" t="s">
        <v>96</v>
      </c>
      <c r="B8" s="72">
        <f>SUM(B6:B7)</f>
        <v>5581945</v>
      </c>
      <c r="C8" s="72">
        <f t="shared" ref="C8" si="1">SUM(C6:C7)</f>
        <v>5683574</v>
      </c>
      <c r="D8" s="72">
        <f t="shared" ref="D8" si="2">SUM(D6:D7)</f>
        <v>5810788</v>
      </c>
      <c r="E8" s="72">
        <f t="shared" ref="E8" si="3">SUM(E6:E7)</f>
        <v>5958529</v>
      </c>
      <c r="F8" s="72">
        <f t="shared" ref="F8" si="4">SUM(F6:F7)</f>
        <v>6103986</v>
      </c>
    </row>
    <row r="9" spans="1:8" x14ac:dyDescent="0.25">
      <c r="A9" s="137" t="s">
        <v>278</v>
      </c>
      <c r="G9" s="189"/>
    </row>
    <row r="10" spans="1:8" x14ac:dyDescent="0.25">
      <c r="A10" s="3"/>
      <c r="C10" s="194"/>
    </row>
    <row r="11" spans="1:8" x14ac:dyDescent="0.25">
      <c r="C11" s="186"/>
      <c r="D11" s="186"/>
      <c r="E11" s="186"/>
      <c r="F11" s="186"/>
      <c r="G11" s="186"/>
    </row>
    <row r="12" spans="1:8" x14ac:dyDescent="0.25">
      <c r="A12" s="137" t="s">
        <v>97</v>
      </c>
    </row>
    <row r="13" spans="1:8" x14ac:dyDescent="0.25">
      <c r="A13" s="25" t="s">
        <v>113</v>
      </c>
      <c r="B13" s="25">
        <v>2020</v>
      </c>
      <c r="C13" s="95"/>
      <c r="E13" s="95"/>
      <c r="F13" s="95"/>
    </row>
    <row r="14" spans="1:8" x14ac:dyDescent="0.25">
      <c r="A14" s="26" t="s">
        <v>98</v>
      </c>
      <c r="B14" s="71">
        <v>774196194.49679828</v>
      </c>
      <c r="C14" s="95"/>
      <c r="E14" s="95"/>
      <c r="F14" s="95"/>
    </row>
    <row r="15" spans="1:8" x14ac:dyDescent="0.25">
      <c r="A15" s="26" t="s">
        <v>99</v>
      </c>
      <c r="B15" s="71">
        <v>425068742.94802272</v>
      </c>
      <c r="C15" s="95"/>
      <c r="D15" s="95"/>
      <c r="E15" s="95"/>
      <c r="F15" s="95"/>
    </row>
    <row r="16" spans="1:8" x14ac:dyDescent="0.25">
      <c r="A16" s="26" t="s">
        <v>100</v>
      </c>
      <c r="B16" s="71">
        <v>49252745.893083043</v>
      </c>
      <c r="C16" s="95"/>
      <c r="D16" s="95"/>
      <c r="E16" s="95"/>
      <c r="F16" s="95"/>
    </row>
    <row r="17" spans="1:6" x14ac:dyDescent="0.25">
      <c r="A17" s="26" t="s">
        <v>101</v>
      </c>
      <c r="B17" s="71">
        <v>27867023.582799483</v>
      </c>
      <c r="C17" s="95"/>
      <c r="D17" s="95"/>
      <c r="E17" s="95"/>
      <c r="F17" s="95"/>
    </row>
    <row r="18" spans="1:6" x14ac:dyDescent="0.25">
      <c r="A18" s="26" t="s">
        <v>102</v>
      </c>
      <c r="B18" s="71">
        <v>353231208.80761385</v>
      </c>
      <c r="C18" s="95"/>
      <c r="D18" s="95"/>
      <c r="E18" s="95"/>
      <c r="F18" s="95"/>
    </row>
    <row r="19" spans="1:6" x14ac:dyDescent="0.25">
      <c r="A19" s="26" t="s">
        <v>103</v>
      </c>
      <c r="B19" s="71">
        <v>225652869.92923439</v>
      </c>
      <c r="C19" s="95"/>
      <c r="D19" s="95"/>
      <c r="E19" s="95"/>
      <c r="F19" s="95"/>
    </row>
    <row r="20" spans="1:6" x14ac:dyDescent="0.25">
      <c r="A20" s="26" t="s">
        <v>104</v>
      </c>
      <c r="B20" s="71">
        <v>38365645.016941071</v>
      </c>
      <c r="C20" s="95"/>
      <c r="D20" s="95"/>
      <c r="E20" s="95"/>
      <c r="F20" s="95"/>
    </row>
    <row r="21" spans="1:6" x14ac:dyDescent="0.25">
      <c r="A21" s="26" t="s">
        <v>105</v>
      </c>
      <c r="B21" s="71">
        <v>25824037.655179225</v>
      </c>
      <c r="C21" s="95"/>
      <c r="D21" s="95"/>
      <c r="E21" s="95"/>
      <c r="F21" s="95"/>
    </row>
    <row r="22" spans="1:6" x14ac:dyDescent="0.25">
      <c r="A22" s="55" t="s">
        <v>106</v>
      </c>
      <c r="B22" s="72">
        <f>SUM(B14:B21)</f>
        <v>1919458468.3296721</v>
      </c>
      <c r="C22" s="95"/>
      <c r="D22" s="95"/>
      <c r="E22" s="95"/>
      <c r="F22" s="95"/>
    </row>
    <row r="23" spans="1:6" x14ac:dyDescent="0.25">
      <c r="A23" s="26" t="s">
        <v>107</v>
      </c>
      <c r="B23" s="71">
        <v>581935548.97095585</v>
      </c>
      <c r="C23" s="95"/>
      <c r="D23" s="95"/>
      <c r="E23" s="95"/>
      <c r="F23" s="95"/>
    </row>
    <row r="24" spans="1:6" x14ac:dyDescent="0.25">
      <c r="A24" s="26" t="s">
        <v>108</v>
      </c>
      <c r="B24" s="71">
        <v>337372285.19718146</v>
      </c>
      <c r="C24" s="95"/>
      <c r="D24" s="95"/>
      <c r="E24" s="95"/>
      <c r="F24" s="95"/>
    </row>
    <row r="25" spans="1:6" x14ac:dyDescent="0.25">
      <c r="A25" s="26" t="s">
        <v>109</v>
      </c>
      <c r="B25" s="71">
        <v>132125855.90121289</v>
      </c>
      <c r="C25" s="95"/>
      <c r="D25" s="95"/>
      <c r="E25" s="95"/>
      <c r="F25" s="95"/>
    </row>
    <row r="26" spans="1:6" x14ac:dyDescent="0.25">
      <c r="A26" s="26" t="s">
        <v>110</v>
      </c>
      <c r="B26" s="71">
        <v>76598863.942663953</v>
      </c>
      <c r="C26" s="95"/>
      <c r="D26" s="95"/>
      <c r="E26" s="95"/>
      <c r="F26" s="95"/>
    </row>
    <row r="27" spans="1:6" x14ac:dyDescent="0.25">
      <c r="A27" s="26" t="s">
        <v>111</v>
      </c>
      <c r="B27" s="71">
        <v>500984389.34226757</v>
      </c>
      <c r="C27" s="95"/>
      <c r="D27" s="95"/>
      <c r="E27" s="95"/>
      <c r="F27" s="95"/>
    </row>
    <row r="28" spans="1:6" x14ac:dyDescent="0.25">
      <c r="A28" s="26" t="s">
        <v>112</v>
      </c>
      <c r="B28" s="71">
        <v>290441524.97539026</v>
      </c>
      <c r="C28" s="95"/>
      <c r="D28" s="95"/>
      <c r="E28" s="95"/>
      <c r="F28" s="95"/>
    </row>
    <row r="29" spans="1:6" x14ac:dyDescent="0.25">
      <c r="A29" s="55" t="s">
        <v>106</v>
      </c>
      <c r="B29" s="72">
        <f>SUM(B23:B28)</f>
        <v>1919458468.3296719</v>
      </c>
      <c r="C29" s="95"/>
      <c r="D29" s="95"/>
      <c r="E29" s="95"/>
      <c r="F29" s="95"/>
    </row>
    <row r="30" spans="1:6" x14ac:dyDescent="0.25">
      <c r="A30" s="3" t="s">
        <v>254</v>
      </c>
      <c r="B30" s="94"/>
      <c r="C30" s="95"/>
      <c r="D30" s="95"/>
      <c r="E30" s="95"/>
      <c r="F30" s="95"/>
    </row>
    <row r="31" spans="1:6" x14ac:dyDescent="0.25">
      <c r="A31" s="3"/>
      <c r="C31" s="95"/>
      <c r="D31" s="95"/>
      <c r="E31" s="95"/>
      <c r="F31" s="95"/>
    </row>
    <row r="32" spans="1:6" x14ac:dyDescent="0.25"/>
    <row r="33" spans="1:6" x14ac:dyDescent="0.25">
      <c r="A33" s="137" t="s">
        <v>168</v>
      </c>
    </row>
    <row r="34" spans="1:6" x14ac:dyDescent="0.25">
      <c r="A34" s="25" t="s">
        <v>114</v>
      </c>
      <c r="B34" s="25">
        <v>2020</v>
      </c>
      <c r="D34" s="95"/>
      <c r="E34" s="95"/>
      <c r="F34" s="95"/>
    </row>
    <row r="35" spans="1:6" x14ac:dyDescent="0.25">
      <c r="A35" s="26" t="s">
        <v>212</v>
      </c>
      <c r="B35" s="71">
        <f>448466281.68</f>
        <v>448466281.68000001</v>
      </c>
      <c r="C35" s="188"/>
      <c r="D35" s="95"/>
      <c r="E35" s="95"/>
      <c r="F35" s="95"/>
    </row>
    <row r="36" spans="1:6" x14ac:dyDescent="0.25">
      <c r="A36" s="26" t="s">
        <v>213</v>
      </c>
      <c r="B36" s="71">
        <v>143969407.83000001</v>
      </c>
      <c r="C36" s="188"/>
      <c r="D36" s="95"/>
      <c r="E36" s="95"/>
      <c r="F36" s="95"/>
    </row>
    <row r="37" spans="1:6" x14ac:dyDescent="0.25">
      <c r="A37" s="26" t="s">
        <v>214</v>
      </c>
      <c r="B37" s="71">
        <v>126193141.27000001</v>
      </c>
      <c r="C37" s="188"/>
      <c r="D37" s="95"/>
      <c r="E37" s="95"/>
      <c r="F37" s="95"/>
    </row>
    <row r="38" spans="1:6" x14ac:dyDescent="0.25">
      <c r="A38" s="55" t="s">
        <v>215</v>
      </c>
      <c r="B38" s="72">
        <f>SUM(B35:B37)</f>
        <v>718628830.77999997</v>
      </c>
      <c r="C38" s="95"/>
      <c r="D38" s="95"/>
      <c r="E38" s="95"/>
      <c r="F38" s="95"/>
    </row>
    <row r="39" spans="1:6" x14ac:dyDescent="0.25">
      <c r="A39" s="73" t="s">
        <v>216</v>
      </c>
      <c r="B39" s="74">
        <f>433489263.47/509071485.51</f>
        <v>0.85152925631990584</v>
      </c>
      <c r="C39" s="95"/>
      <c r="D39" s="138">
        <v>433489263.47107297</v>
      </c>
      <c r="E39" s="95"/>
      <c r="F39" s="95"/>
    </row>
    <row r="40" spans="1:6" x14ac:dyDescent="0.25">
      <c r="A40" s="73" t="s">
        <v>217</v>
      </c>
      <c r="B40" s="74">
        <f>1-B39</f>
        <v>0.14847074368009416</v>
      </c>
      <c r="C40" s="95"/>
      <c r="D40" s="95"/>
      <c r="E40" s="95"/>
      <c r="F40" s="95"/>
    </row>
    <row r="41" spans="1:6" x14ac:dyDescent="0.25">
      <c r="A41" s="26" t="s">
        <v>115</v>
      </c>
      <c r="B41" s="71">
        <f>B37*B39</f>
        <v>107457151.73831593</v>
      </c>
      <c r="C41" s="95"/>
      <c r="D41" s="95"/>
      <c r="E41" s="95"/>
      <c r="F41" s="95"/>
    </row>
    <row r="42" spans="1:6" x14ac:dyDescent="0.25">
      <c r="A42" s="26" t="s">
        <v>116</v>
      </c>
      <c r="B42" s="71">
        <f>B35*B39</f>
        <v>381882159.32352382</v>
      </c>
      <c r="C42" s="95"/>
      <c r="D42" s="95"/>
      <c r="E42" s="95"/>
      <c r="F42" s="95"/>
    </row>
    <row r="43" spans="1:6" x14ac:dyDescent="0.25">
      <c r="A43" s="26" t="s">
        <v>117</v>
      </c>
      <c r="B43" s="71">
        <f>B36*B39</f>
        <v>122594162.78229713</v>
      </c>
      <c r="C43" s="95"/>
      <c r="D43" s="95"/>
      <c r="E43" s="95"/>
      <c r="F43" s="95"/>
    </row>
    <row r="44" spans="1:6" x14ac:dyDescent="0.25">
      <c r="A44" s="26" t="s">
        <v>118</v>
      </c>
      <c r="B44" s="71">
        <f>B37*B40</f>
        <v>18735989.531684086</v>
      </c>
      <c r="C44" s="95"/>
      <c r="D44" s="95"/>
      <c r="E44" s="95"/>
      <c r="F44" s="95"/>
    </row>
    <row r="45" spans="1:6" x14ac:dyDescent="0.25">
      <c r="A45" s="26" t="s">
        <v>119</v>
      </c>
      <c r="B45" s="71">
        <f>B35*B40</f>
        <v>66584122.356476188</v>
      </c>
      <c r="C45" s="95"/>
      <c r="D45" s="95"/>
      <c r="E45" s="95"/>
      <c r="F45" s="95"/>
    </row>
    <row r="46" spans="1:6" x14ac:dyDescent="0.25">
      <c r="A46" s="26" t="s">
        <v>120</v>
      </c>
      <c r="B46" s="71">
        <f>B36*B40</f>
        <v>21375245.047702875</v>
      </c>
      <c r="C46" s="95"/>
      <c r="D46" s="95"/>
      <c r="E46" s="95"/>
      <c r="F46" s="95"/>
    </row>
    <row r="47" spans="1:6" x14ac:dyDescent="0.25">
      <c r="A47" s="55" t="s">
        <v>121</v>
      </c>
      <c r="B47" s="72">
        <f>SUM(B41:B46)</f>
        <v>718628830.78000009</v>
      </c>
      <c r="C47" s="95"/>
      <c r="D47" s="95"/>
      <c r="E47" s="95"/>
      <c r="F47" s="95"/>
    </row>
    <row r="48" spans="1:6" x14ac:dyDescent="0.25">
      <c r="A48" s="3" t="s">
        <v>285</v>
      </c>
      <c r="D48" s="94"/>
    </row>
    <row r="49" spans="1:7" x14ac:dyDescent="0.25">
      <c r="A49" s="94"/>
    </row>
    <row r="50" spans="1:7" x14ac:dyDescent="0.25">
      <c r="G50" s="184"/>
    </row>
    <row r="51" spans="1:7" x14ac:dyDescent="0.25">
      <c r="A51" s="137" t="s">
        <v>218</v>
      </c>
    </row>
    <row r="52" spans="1:7" x14ac:dyDescent="0.25">
      <c r="A52" s="25" t="s">
        <v>122</v>
      </c>
      <c r="B52" s="25">
        <v>2019</v>
      </c>
      <c r="C52" s="94"/>
      <c r="D52" s="95"/>
      <c r="E52" s="95"/>
      <c r="F52" s="95"/>
    </row>
    <row r="53" spans="1:7" x14ac:dyDescent="0.25">
      <c r="A53" s="73" t="s">
        <v>123</v>
      </c>
      <c r="B53" s="71">
        <v>50364554.952442259</v>
      </c>
      <c r="D53" s="95"/>
      <c r="E53" s="140"/>
      <c r="F53" s="95"/>
    </row>
    <row r="54" spans="1:7" x14ac:dyDescent="0.25">
      <c r="A54" s="26" t="s">
        <v>124</v>
      </c>
      <c r="B54" s="71">
        <v>19792989.864503384</v>
      </c>
      <c r="C54" s="95"/>
      <c r="D54" s="95"/>
      <c r="E54" s="140"/>
      <c r="F54" s="95"/>
    </row>
    <row r="55" spans="1:7" x14ac:dyDescent="0.25">
      <c r="A55" s="73" t="s">
        <v>125</v>
      </c>
      <c r="B55" s="71">
        <v>17104821.051007424</v>
      </c>
      <c r="C55" s="141"/>
      <c r="D55" s="142"/>
      <c r="E55" s="140"/>
      <c r="F55" s="140"/>
    </row>
    <row r="56" spans="1:7" x14ac:dyDescent="0.25">
      <c r="A56" s="73" t="s">
        <v>126</v>
      </c>
      <c r="B56" s="71">
        <v>0</v>
      </c>
      <c r="C56" s="141"/>
      <c r="D56" s="142"/>
      <c r="E56" s="140"/>
      <c r="F56" s="140"/>
    </row>
    <row r="57" spans="1:7" x14ac:dyDescent="0.25">
      <c r="A57" s="73" t="s">
        <v>127</v>
      </c>
      <c r="B57" s="71">
        <v>46518.826556670734</v>
      </c>
      <c r="C57" s="95"/>
      <c r="D57" s="95"/>
      <c r="E57" s="95"/>
      <c r="F57" s="95"/>
    </row>
    <row r="58" spans="1:7" x14ac:dyDescent="0.25">
      <c r="A58" s="73" t="s">
        <v>128</v>
      </c>
      <c r="B58" s="71">
        <v>5089897.4555688528</v>
      </c>
      <c r="C58" s="95"/>
      <c r="D58" s="95"/>
      <c r="E58" s="95"/>
      <c r="F58" s="95"/>
    </row>
    <row r="59" spans="1:7" x14ac:dyDescent="0.25">
      <c r="A59" s="55" t="s">
        <v>129</v>
      </c>
      <c r="B59" s="72">
        <f>SUM(B53:B58)</f>
        <v>92398782.15007858</v>
      </c>
      <c r="C59" s="193"/>
      <c r="D59" s="95"/>
      <c r="E59" s="95"/>
      <c r="F59" s="95"/>
    </row>
    <row r="60" spans="1:7" x14ac:dyDescent="0.25">
      <c r="A60" s="3" t="s">
        <v>279</v>
      </c>
    </row>
    <row r="61" spans="1:7" x14ac:dyDescent="0.25">
      <c r="A61" s="3"/>
    </row>
    <row r="62" spans="1:7" x14ac:dyDescent="0.25"/>
    <row r="63" spans="1:7" x14ac:dyDescent="0.25">
      <c r="A63" s="137" t="s">
        <v>281</v>
      </c>
    </row>
    <row r="64" spans="1:7" x14ac:dyDescent="0.25">
      <c r="A64" s="25" t="s">
        <v>169</v>
      </c>
      <c r="B64" s="25" t="s">
        <v>224</v>
      </c>
      <c r="C64" s="25">
        <v>2021</v>
      </c>
      <c r="D64" s="25">
        <v>2022</v>
      </c>
      <c r="E64" s="25">
        <v>2023</v>
      </c>
      <c r="F64" s="25">
        <v>2024</v>
      </c>
    </row>
    <row r="65" spans="1:7" x14ac:dyDescent="0.25">
      <c r="A65" s="26" t="s">
        <v>130</v>
      </c>
      <c r="B65" s="71">
        <f>307630560*(1+B157)</f>
        <v>358189642.53600001</v>
      </c>
      <c r="C65" s="71">
        <f>613643000/B162</f>
        <v>591064342.1306107</v>
      </c>
      <c r="D65" s="71">
        <f>564944000/B163</f>
        <v>525806546.66677362</v>
      </c>
      <c r="E65" s="71">
        <f>512385000/B164</f>
        <v>461877637.28186584</v>
      </c>
      <c r="F65" s="71">
        <f>611677000/B165</f>
        <v>534026266.31256109</v>
      </c>
      <c r="G65" s="175"/>
    </row>
    <row r="66" spans="1:7" x14ac:dyDescent="0.25">
      <c r="A66" s="26" t="s">
        <v>131</v>
      </c>
      <c r="B66" s="71">
        <f>210587530*(1+B157)</f>
        <v>245197590.5555</v>
      </c>
      <c r="C66" s="71">
        <f>582250000/B162</f>
        <v>560826430.36023891</v>
      </c>
      <c r="D66" s="71">
        <f>737157000/B163</f>
        <v>686089199.14405477</v>
      </c>
      <c r="E66" s="71">
        <f>877956000/B164</f>
        <v>791413181.333251</v>
      </c>
      <c r="F66" s="71">
        <f>860295000/B165</f>
        <v>751082886.51913476</v>
      </c>
      <c r="G66" s="175"/>
    </row>
    <row r="67" spans="1:7" x14ac:dyDescent="0.25">
      <c r="A67" s="26" t="s">
        <v>132</v>
      </c>
      <c r="B67" s="71">
        <f>64435073.5451632*(1+B157)</f>
        <v>75024977.882310778</v>
      </c>
      <c r="C67" s="71">
        <v>0</v>
      </c>
      <c r="D67" s="71">
        <v>0</v>
      </c>
      <c r="E67" s="71">
        <v>0</v>
      </c>
      <c r="F67" s="71">
        <v>0</v>
      </c>
      <c r="G67" s="175"/>
    </row>
    <row r="68" spans="1:7" x14ac:dyDescent="0.25">
      <c r="A68" s="26" t="s">
        <v>133</v>
      </c>
      <c r="B68" s="71">
        <f>44108826.4548368*(1+B157)</f>
        <v>51358112.082689226</v>
      </c>
      <c r="C68" s="71">
        <v>0</v>
      </c>
      <c r="D68" s="71">
        <v>0</v>
      </c>
      <c r="E68" s="71">
        <v>0</v>
      </c>
      <c r="F68" s="71">
        <v>0</v>
      </c>
      <c r="G68" s="175"/>
    </row>
    <row r="69" spans="1:7" x14ac:dyDescent="0.25">
      <c r="A69" s="115" t="s">
        <v>196</v>
      </c>
      <c r="B69" s="116">
        <f>SUM(B67:B68)</f>
        <v>126383089.965</v>
      </c>
      <c r="C69" s="116">
        <f>76352000/B162</f>
        <v>73542670.005779237</v>
      </c>
      <c r="D69" s="116">
        <f>91918000/B163</f>
        <v>85550224.72407265</v>
      </c>
      <c r="E69" s="116">
        <f>49250000/B164</f>
        <v>44395276.278836995</v>
      </c>
      <c r="F69" s="116">
        <f>26416000/B165</f>
        <v>23062560.552240178</v>
      </c>
      <c r="G69" s="175"/>
    </row>
    <row r="70" spans="1:7" x14ac:dyDescent="0.25">
      <c r="A70" s="55" t="s">
        <v>134</v>
      </c>
      <c r="B70" s="72">
        <f>SUM(B65:B68)</f>
        <v>729770323.05649996</v>
      </c>
      <c r="C70" s="72">
        <f>SUM(C65:C66,C69)</f>
        <v>1225433442.4966288</v>
      </c>
      <c r="D70" s="72">
        <f t="shared" ref="D70:F70" si="5">SUM(D65:D66,D69)</f>
        <v>1297445970.5349011</v>
      </c>
      <c r="E70" s="72">
        <f t="shared" si="5"/>
        <v>1297686094.8939538</v>
      </c>
      <c r="F70" s="72">
        <f t="shared" si="5"/>
        <v>1308171713.3839359</v>
      </c>
      <c r="G70" s="175"/>
    </row>
    <row r="71" spans="1:7" x14ac:dyDescent="0.25">
      <c r="A71" s="3" t="s">
        <v>280</v>
      </c>
      <c r="G71" s="94"/>
    </row>
    <row r="72" spans="1:7" x14ac:dyDescent="0.25">
      <c r="A72" s="137"/>
    </row>
    <row r="73" spans="1:7" x14ac:dyDescent="0.25"/>
    <row r="74" spans="1:7" x14ac:dyDescent="0.25">
      <c r="A74" s="137" t="s">
        <v>170</v>
      </c>
    </row>
    <row r="75" spans="1:7" x14ac:dyDescent="0.25">
      <c r="A75" s="25" t="s">
        <v>135</v>
      </c>
      <c r="B75" s="25" t="s">
        <v>195</v>
      </c>
      <c r="C75" s="95"/>
      <c r="D75" s="95"/>
      <c r="E75" s="95"/>
      <c r="F75" s="95"/>
    </row>
    <row r="76" spans="1:7" x14ac:dyDescent="0.25">
      <c r="A76" s="26" t="s">
        <v>136</v>
      </c>
      <c r="B76" s="134">
        <v>7.5733737851161997E-2</v>
      </c>
      <c r="C76" s="188"/>
      <c r="D76" s="95"/>
      <c r="E76" s="95"/>
      <c r="F76" s="95"/>
    </row>
    <row r="77" spans="1:7" x14ac:dyDescent="0.25">
      <c r="A77" s="26" t="s">
        <v>137</v>
      </c>
      <c r="B77" s="134">
        <f>B76/(1-B85)</f>
        <v>0.11474808765327575</v>
      </c>
      <c r="C77" s="188"/>
      <c r="D77" s="95"/>
      <c r="E77" s="95"/>
      <c r="F77" s="95"/>
    </row>
    <row r="78" spans="1:7" x14ac:dyDescent="0.25">
      <c r="A78" s="3" t="s">
        <v>253</v>
      </c>
      <c r="C78" s="94"/>
    </row>
    <row r="79" spans="1:7" x14ac:dyDescent="0.25">
      <c r="A79" s="3"/>
    </row>
    <row r="80" spans="1:7" x14ac:dyDescent="0.25"/>
    <row r="81" spans="1:6" x14ac:dyDescent="0.25">
      <c r="A81" s="3" t="s">
        <v>171</v>
      </c>
    </row>
    <row r="82" spans="1:6" x14ac:dyDescent="0.25">
      <c r="A82" s="25" t="s">
        <v>172</v>
      </c>
      <c r="B82" s="25" t="s">
        <v>67</v>
      </c>
      <c r="C82" s="95"/>
      <c r="D82" s="95"/>
      <c r="E82" s="95"/>
      <c r="F82" s="95"/>
    </row>
    <row r="83" spans="1:6" x14ac:dyDescent="0.25">
      <c r="A83" s="26" t="s">
        <v>220</v>
      </c>
      <c r="B83" s="74">
        <v>0.25</v>
      </c>
      <c r="C83" s="95"/>
      <c r="D83" s="95"/>
      <c r="E83" s="95"/>
      <c r="F83" s="95"/>
    </row>
    <row r="84" spans="1:6" x14ac:dyDescent="0.25">
      <c r="A84" s="26" t="s">
        <v>221</v>
      </c>
      <c r="B84" s="74">
        <v>0.09</v>
      </c>
      <c r="C84" s="95"/>
      <c r="D84" s="95"/>
      <c r="E84" s="95"/>
      <c r="F84" s="95"/>
    </row>
    <row r="85" spans="1:6" x14ac:dyDescent="0.25">
      <c r="A85" s="26" t="s">
        <v>219</v>
      </c>
      <c r="B85" s="74">
        <f>B84+B83</f>
        <v>0.33999999999999997</v>
      </c>
      <c r="C85" s="95"/>
      <c r="D85" s="95"/>
      <c r="E85" s="95"/>
      <c r="F85" s="95"/>
    </row>
    <row r="86" spans="1:6" x14ac:dyDescent="0.25">
      <c r="A86" s="26" t="s">
        <v>138</v>
      </c>
      <c r="B86" s="135">
        <v>6.9388000000000005E-2</v>
      </c>
      <c r="C86" s="95"/>
      <c r="D86" s="95"/>
      <c r="E86" s="95"/>
      <c r="F86" s="95"/>
    </row>
    <row r="87" spans="1:6" x14ac:dyDescent="0.25">
      <c r="A87" s="3" t="s">
        <v>284</v>
      </c>
    </row>
    <row r="88" spans="1:6" x14ac:dyDescent="0.25"/>
    <row r="89" spans="1:6" x14ac:dyDescent="0.25"/>
    <row r="90" spans="1:6" x14ac:dyDescent="0.25">
      <c r="A90" s="3" t="s">
        <v>194</v>
      </c>
    </row>
    <row r="91" spans="1:6" x14ac:dyDescent="0.25">
      <c r="A91" s="25" t="s">
        <v>43</v>
      </c>
      <c r="B91" s="25" t="s">
        <v>67</v>
      </c>
      <c r="C91" s="95"/>
      <c r="D91" s="95"/>
      <c r="E91" s="95"/>
      <c r="F91" s="95"/>
    </row>
    <row r="92" spans="1:6" x14ac:dyDescent="0.25">
      <c r="A92" s="26" t="s">
        <v>139</v>
      </c>
      <c r="B92" s="74">
        <v>5.3E-3</v>
      </c>
      <c r="C92" s="95"/>
      <c r="D92" s="95"/>
      <c r="E92" s="95"/>
      <c r="F92" s="95"/>
    </row>
    <row r="93" spans="1:6" x14ac:dyDescent="0.25">
      <c r="A93" s="26" t="s">
        <v>140</v>
      </c>
      <c r="B93" s="74">
        <v>5.3E-3</v>
      </c>
      <c r="C93" s="95"/>
      <c r="D93" s="95"/>
      <c r="E93" s="95"/>
      <c r="F93" s="95"/>
    </row>
    <row r="94" spans="1:6" x14ac:dyDescent="0.25">
      <c r="A94" s="55" t="s">
        <v>141</v>
      </c>
      <c r="B94" s="136">
        <f>B92</f>
        <v>5.3E-3</v>
      </c>
      <c r="C94" s="95"/>
      <c r="D94" s="95"/>
      <c r="E94" s="95"/>
      <c r="F94" s="95"/>
    </row>
    <row r="95" spans="1:6" x14ac:dyDescent="0.25">
      <c r="A95" s="3" t="s">
        <v>208</v>
      </c>
    </row>
    <row r="96" spans="1:6" x14ac:dyDescent="0.25"/>
    <row r="97" spans="1:6" x14ac:dyDescent="0.25"/>
    <row r="98" spans="1:6" x14ac:dyDescent="0.25">
      <c r="A98" s="137" t="s">
        <v>174</v>
      </c>
    </row>
    <row r="99" spans="1:6" x14ac:dyDescent="0.25">
      <c r="A99" s="25" t="s">
        <v>173</v>
      </c>
      <c r="B99" s="25" t="s">
        <v>67</v>
      </c>
      <c r="C99" s="188"/>
      <c r="D99" s="95"/>
      <c r="E99" s="95"/>
      <c r="F99" s="95"/>
    </row>
    <row r="100" spans="1:6" x14ac:dyDescent="0.25">
      <c r="A100" s="26" t="s">
        <v>142</v>
      </c>
      <c r="B100" s="71">
        <f>11580985745.53</f>
        <v>11580985745.530001</v>
      </c>
      <c r="C100" s="157"/>
      <c r="D100" s="95"/>
      <c r="E100" s="95"/>
      <c r="F100" s="95"/>
    </row>
    <row r="101" spans="1:6" x14ac:dyDescent="0.25">
      <c r="A101" s="26" t="s">
        <v>143</v>
      </c>
      <c r="B101" s="71"/>
      <c r="C101" s="188"/>
      <c r="D101" s="95"/>
      <c r="E101" s="95"/>
      <c r="F101" s="95"/>
    </row>
    <row r="102" spans="1:6" x14ac:dyDescent="0.25">
      <c r="A102" s="26" t="s">
        <v>146</v>
      </c>
      <c r="B102" s="71">
        <v>1016870063.84</v>
      </c>
      <c r="C102" s="95"/>
      <c r="D102" s="95"/>
      <c r="E102" s="95"/>
      <c r="F102" s="95"/>
    </row>
    <row r="103" spans="1:6" x14ac:dyDescent="0.25">
      <c r="A103" s="26" t="s">
        <v>148</v>
      </c>
      <c r="B103" s="71">
        <v>1012939.78</v>
      </c>
      <c r="C103" s="95"/>
      <c r="D103" s="95"/>
      <c r="E103" s="95"/>
      <c r="F103" s="95"/>
    </row>
    <row r="104" spans="1:6" x14ac:dyDescent="0.25">
      <c r="A104" s="55" t="s">
        <v>185</v>
      </c>
      <c r="B104" s="72">
        <f>SUM(B100:B103)</f>
        <v>12598868749.150002</v>
      </c>
      <c r="C104" s="95"/>
      <c r="F104" s="95"/>
    </row>
    <row r="105" spans="1:6" x14ac:dyDescent="0.25">
      <c r="A105" s="26" t="s">
        <v>144</v>
      </c>
      <c r="B105" s="71">
        <v>9274724913.5600014</v>
      </c>
      <c r="C105" s="157"/>
      <c r="F105" s="95"/>
    </row>
    <row r="106" spans="1:6" x14ac:dyDescent="0.25">
      <c r="A106" s="26" t="s">
        <v>145</v>
      </c>
      <c r="B106" s="71"/>
      <c r="C106" s="188"/>
      <c r="F106" s="95"/>
    </row>
    <row r="107" spans="1:6" x14ac:dyDescent="0.25">
      <c r="A107" s="26" t="s">
        <v>147</v>
      </c>
      <c r="B107" s="71">
        <v>354256556.5</v>
      </c>
      <c r="C107" s="95"/>
      <c r="F107" s="95"/>
    </row>
    <row r="108" spans="1:6" x14ac:dyDescent="0.25">
      <c r="A108" s="26" t="s">
        <v>149</v>
      </c>
      <c r="B108" s="71">
        <v>329.92</v>
      </c>
      <c r="C108" s="95"/>
      <c r="F108" s="95"/>
    </row>
    <row r="109" spans="1:6" x14ac:dyDescent="0.25">
      <c r="A109" s="55" t="s">
        <v>186</v>
      </c>
      <c r="B109" s="72">
        <f>SUM(B105:B108)</f>
        <v>9628981799.9800014</v>
      </c>
      <c r="C109" s="95"/>
      <c r="F109" s="95"/>
    </row>
    <row r="110" spans="1:6" x14ac:dyDescent="0.25">
      <c r="A110" s="26" t="s">
        <v>228</v>
      </c>
      <c r="B110" s="71">
        <v>218376765.53</v>
      </c>
      <c r="C110" s="95"/>
      <c r="F110" s="95"/>
    </row>
    <row r="111" spans="1:6" x14ac:dyDescent="0.25">
      <c r="A111" s="26" t="s">
        <v>229</v>
      </c>
      <c r="B111" s="71"/>
      <c r="C111" s="188"/>
      <c r="F111" s="95"/>
    </row>
    <row r="112" spans="1:6" x14ac:dyDescent="0.25">
      <c r="A112" s="26" t="s">
        <v>230</v>
      </c>
      <c r="B112" s="71">
        <v>48509596.810000002</v>
      </c>
      <c r="C112" s="188"/>
      <c r="F112" s="95"/>
    </row>
    <row r="113" spans="1:6" x14ac:dyDescent="0.25">
      <c r="A113" s="26" t="s">
        <v>231</v>
      </c>
      <c r="B113" s="71">
        <v>18697569</v>
      </c>
      <c r="C113" s="188"/>
      <c r="F113" s="95"/>
    </row>
    <row r="114" spans="1:6" x14ac:dyDescent="0.25">
      <c r="A114" s="55" t="s">
        <v>234</v>
      </c>
      <c r="B114" s="72">
        <f>SUM(B110:B113)</f>
        <v>285583931.34000003</v>
      </c>
      <c r="C114" s="140"/>
      <c r="F114" s="95"/>
    </row>
    <row r="115" spans="1:6" x14ac:dyDescent="0.25">
      <c r="A115" s="55" t="s">
        <v>150</v>
      </c>
      <c r="B115" s="72">
        <f>B109+B104+B114</f>
        <v>22513434480.470005</v>
      </c>
      <c r="C115" s="188"/>
      <c r="D115" s="158"/>
      <c r="E115" s="159"/>
      <c r="F115" s="95"/>
    </row>
    <row r="116" spans="1:6" x14ac:dyDescent="0.25">
      <c r="A116" s="73" t="s">
        <v>180</v>
      </c>
      <c r="B116" s="71"/>
      <c r="C116" s="188"/>
      <c r="D116" s="158"/>
      <c r="E116" s="159"/>
      <c r="F116" s="95"/>
    </row>
    <row r="117" spans="1:6" x14ac:dyDescent="0.25">
      <c r="A117" s="73" t="s">
        <v>181</v>
      </c>
      <c r="B117" s="71"/>
      <c r="C117" s="188"/>
      <c r="D117" s="158"/>
      <c r="E117" s="159"/>
      <c r="F117" s="95"/>
    </row>
    <row r="118" spans="1:6" x14ac:dyDescent="0.25">
      <c r="A118" s="55" t="s">
        <v>187</v>
      </c>
      <c r="B118" s="72">
        <f>SUM(B116:B117)</f>
        <v>0</v>
      </c>
      <c r="C118" s="188"/>
      <c r="D118" s="158"/>
      <c r="E118" s="159"/>
      <c r="F118" s="95"/>
    </row>
    <row r="119" spans="1:6" x14ac:dyDescent="0.25">
      <c r="A119" s="26" t="s">
        <v>151</v>
      </c>
      <c r="B119" s="71">
        <v>5835100636.6999998</v>
      </c>
      <c r="C119" s="188"/>
      <c r="D119" s="158"/>
      <c r="E119" s="159"/>
      <c r="F119" s="95"/>
    </row>
    <row r="120" spans="1:6" x14ac:dyDescent="0.25">
      <c r="A120" s="26" t="s">
        <v>152</v>
      </c>
      <c r="B120" s="71">
        <v>3391975015.8800001</v>
      </c>
      <c r="C120" s="188"/>
      <c r="D120" s="95"/>
      <c r="E120" s="95"/>
      <c r="F120" s="95"/>
    </row>
    <row r="121" spans="1:6" x14ac:dyDescent="0.25">
      <c r="A121" s="26" t="s">
        <v>235</v>
      </c>
      <c r="B121" s="71">
        <v>111128416.29000001</v>
      </c>
      <c r="C121" s="188"/>
      <c r="D121" s="95"/>
      <c r="E121" s="95"/>
      <c r="F121" s="95"/>
    </row>
    <row r="122" spans="1:6" x14ac:dyDescent="0.25">
      <c r="A122" s="55" t="s">
        <v>153</v>
      </c>
      <c r="B122" s="72">
        <f>SUM(B119:B121)</f>
        <v>9338204068.8700008</v>
      </c>
      <c r="C122" s="188"/>
      <c r="D122" s="242"/>
      <c r="E122" s="242"/>
      <c r="F122" s="95"/>
    </row>
    <row r="123" spans="1:6" x14ac:dyDescent="0.25">
      <c r="A123" s="26" t="s">
        <v>154</v>
      </c>
      <c r="B123" s="71">
        <v>0</v>
      </c>
      <c r="C123" s="188"/>
      <c r="D123" s="95"/>
      <c r="E123" s="95"/>
      <c r="F123" s="95"/>
    </row>
    <row r="124" spans="1:6" x14ac:dyDescent="0.25">
      <c r="A124" s="26" t="s">
        <v>155</v>
      </c>
      <c r="B124" s="71">
        <v>0</v>
      </c>
      <c r="C124" s="188"/>
      <c r="D124" s="95"/>
      <c r="E124" s="95"/>
      <c r="F124" s="95"/>
    </row>
    <row r="125" spans="1:6" x14ac:dyDescent="0.25">
      <c r="A125" s="55" t="s">
        <v>156</v>
      </c>
      <c r="B125" s="72">
        <f>SUM(B123:B124)</f>
        <v>0</v>
      </c>
      <c r="C125" s="188"/>
      <c r="D125" s="95"/>
      <c r="E125" s="95"/>
      <c r="F125" s="95"/>
    </row>
    <row r="126" spans="1:6" x14ac:dyDescent="0.25">
      <c r="A126" s="26" t="s">
        <v>157</v>
      </c>
      <c r="B126" s="71">
        <v>51519744.189131252</v>
      </c>
      <c r="C126" s="188"/>
      <c r="D126" s="95"/>
      <c r="E126" s="95"/>
      <c r="F126" s="95"/>
    </row>
    <row r="127" spans="1:6" x14ac:dyDescent="0.25">
      <c r="A127" s="26" t="s">
        <v>158</v>
      </c>
      <c r="B127" s="71">
        <v>6425590.4208687479</v>
      </c>
      <c r="C127" s="188"/>
      <c r="D127" s="95"/>
      <c r="E127" s="95"/>
      <c r="F127" s="95"/>
    </row>
    <row r="128" spans="1:6" x14ac:dyDescent="0.25">
      <c r="A128" s="55" t="s">
        <v>286</v>
      </c>
      <c r="B128" s="72">
        <f>SUM(B126:B127)</f>
        <v>57945334.609999999</v>
      </c>
      <c r="C128" s="188"/>
      <c r="D128" s="95"/>
      <c r="E128" s="95"/>
      <c r="F128" s="95"/>
    </row>
    <row r="129" spans="1:6" x14ac:dyDescent="0.25">
      <c r="A129" s="26" t="s">
        <v>162</v>
      </c>
      <c r="B129" s="71">
        <v>36.101083032490976</v>
      </c>
      <c r="C129" s="188"/>
      <c r="D129" s="95"/>
      <c r="E129" s="95"/>
      <c r="F129" s="95"/>
    </row>
    <row r="130" spans="1:6" x14ac:dyDescent="0.25">
      <c r="A130" s="26" t="s">
        <v>163</v>
      </c>
      <c r="B130" s="74">
        <f>1/B129</f>
        <v>2.7699999999999999E-2</v>
      </c>
      <c r="C130" s="188"/>
      <c r="D130" s="95"/>
      <c r="E130" s="95"/>
      <c r="F130" s="95"/>
    </row>
    <row r="131" spans="1:6" x14ac:dyDescent="0.25">
      <c r="A131" s="26" t="s">
        <v>164</v>
      </c>
      <c r="B131" s="71">
        <v>42.194092827004219</v>
      </c>
      <c r="C131" s="188"/>
      <c r="D131" s="242"/>
      <c r="E131" s="242"/>
      <c r="F131" s="95"/>
    </row>
    <row r="132" spans="1:6" x14ac:dyDescent="0.25">
      <c r="A132" s="26" t="s">
        <v>165</v>
      </c>
      <c r="B132" s="74">
        <f>1/B131</f>
        <v>2.3699999999999999E-2</v>
      </c>
      <c r="C132" s="188"/>
      <c r="D132" s="95"/>
      <c r="E132" s="95"/>
      <c r="F132" s="95"/>
    </row>
    <row r="133" spans="1:6" x14ac:dyDescent="0.25">
      <c r="A133" s="26" t="s">
        <v>166</v>
      </c>
      <c r="B133" s="71">
        <v>38.610038610038607</v>
      </c>
      <c r="C133" s="188"/>
      <c r="D133" s="160"/>
      <c r="E133" s="162"/>
      <c r="F133" s="95"/>
    </row>
    <row r="134" spans="1:6" x14ac:dyDescent="0.25">
      <c r="A134" s="26" t="s">
        <v>167</v>
      </c>
      <c r="B134" s="74">
        <f>1/B133</f>
        <v>2.5900000000000003E-2</v>
      </c>
      <c r="C134" s="188"/>
      <c r="D134" s="160"/>
      <c r="E134" s="161"/>
      <c r="F134" s="95"/>
    </row>
    <row r="135" spans="1:6" x14ac:dyDescent="0.25">
      <c r="A135" s="26" t="s">
        <v>232</v>
      </c>
      <c r="B135" s="71">
        <v>38.46153846153846</v>
      </c>
      <c r="C135" s="188"/>
      <c r="D135" s="160"/>
      <c r="E135" s="161"/>
      <c r="F135" s="95"/>
    </row>
    <row r="136" spans="1:6" x14ac:dyDescent="0.25">
      <c r="A136" s="26" t="s">
        <v>233</v>
      </c>
      <c r="B136" s="74">
        <f>1/B135</f>
        <v>2.6000000000000002E-2</v>
      </c>
      <c r="C136" s="188"/>
      <c r="D136" s="160"/>
      <c r="E136" s="161"/>
      <c r="F136" s="95"/>
    </row>
    <row r="137" spans="1:6" x14ac:dyDescent="0.25">
      <c r="A137" s="3" t="s">
        <v>252</v>
      </c>
      <c r="B137" s="144"/>
      <c r="C137" s="188"/>
      <c r="D137" s="160"/>
      <c r="E137" s="162"/>
      <c r="F137" s="95"/>
    </row>
    <row r="138" spans="1:6" x14ac:dyDescent="0.25">
      <c r="A138" s="3"/>
      <c r="B138" s="3"/>
      <c r="C138" s="95"/>
      <c r="D138" s="160"/>
      <c r="E138" s="161"/>
      <c r="F138" s="95"/>
    </row>
    <row r="139" spans="1:6" x14ac:dyDescent="0.25">
      <c r="A139" s="3"/>
      <c r="B139" s="3"/>
      <c r="C139" s="95"/>
      <c r="D139" s="160"/>
      <c r="E139" s="162"/>
      <c r="F139" s="95"/>
    </row>
    <row r="140" spans="1:6" x14ac:dyDescent="0.25">
      <c r="A140" s="3" t="s">
        <v>223</v>
      </c>
      <c r="B140" s="3"/>
      <c r="C140" s="95"/>
      <c r="D140" s="160"/>
      <c r="E140" s="161"/>
      <c r="F140" s="95"/>
    </row>
    <row r="141" spans="1:6" x14ac:dyDescent="0.25">
      <c r="A141" s="25" t="s">
        <v>222</v>
      </c>
      <c r="B141" s="25" t="s">
        <v>67</v>
      </c>
      <c r="C141" s="95"/>
      <c r="D141" s="160"/>
      <c r="E141" s="162"/>
      <c r="F141" s="95"/>
    </row>
    <row r="142" spans="1:6" x14ac:dyDescent="0.25">
      <c r="A142" s="26" t="s">
        <v>159</v>
      </c>
      <c r="B142" s="71">
        <v>209903585</v>
      </c>
      <c r="C142" s="183"/>
      <c r="D142" s="140"/>
      <c r="E142" s="95"/>
      <c r="F142" s="95"/>
    </row>
    <row r="143" spans="1:6" x14ac:dyDescent="0.25">
      <c r="A143" s="26" t="s">
        <v>160</v>
      </c>
      <c r="B143" s="71">
        <v>124701879</v>
      </c>
      <c r="C143" s="183"/>
      <c r="D143" s="142"/>
      <c r="E143" s="95"/>
      <c r="F143" s="95"/>
    </row>
    <row r="144" spans="1:6" x14ac:dyDescent="0.25">
      <c r="A144" s="26" t="s">
        <v>277</v>
      </c>
      <c r="B144" s="74">
        <v>6.7199999999999996E-2</v>
      </c>
      <c r="C144" s="183"/>
      <c r="D144" s="95"/>
      <c r="E144" s="95"/>
      <c r="F144" s="95"/>
    </row>
    <row r="145" spans="1:6" x14ac:dyDescent="0.25">
      <c r="A145" s="55" t="s">
        <v>161</v>
      </c>
      <c r="B145" s="72">
        <f>SUM(B142:B143)</f>
        <v>334605464</v>
      </c>
      <c r="C145" s="188"/>
      <c r="D145" s="95"/>
      <c r="E145" s="95"/>
      <c r="F145" s="95"/>
    </row>
    <row r="146" spans="1:6" x14ac:dyDescent="0.25">
      <c r="A146" s="3" t="s">
        <v>251</v>
      </c>
      <c r="C146" s="94"/>
    </row>
    <row r="147" spans="1:6" x14ac:dyDescent="0.25">
      <c r="A147" s="3"/>
    </row>
    <row r="148" spans="1:6" x14ac:dyDescent="0.25"/>
    <row r="149" spans="1:6" x14ac:dyDescent="0.25">
      <c r="A149" s="137" t="s">
        <v>175</v>
      </c>
    </row>
    <row r="150" spans="1:6" x14ac:dyDescent="0.25">
      <c r="A150" s="25" t="s">
        <v>113</v>
      </c>
      <c r="B150" s="25" t="s">
        <v>67</v>
      </c>
    </row>
    <row r="151" spans="1:6" x14ac:dyDescent="0.25">
      <c r="A151" s="26" t="s">
        <v>176</v>
      </c>
      <c r="B151" s="74">
        <v>0.75</v>
      </c>
    </row>
    <row r="152" spans="1:6" x14ac:dyDescent="0.25">
      <c r="A152" s="26" t="s">
        <v>177</v>
      </c>
      <c r="B152" s="75">
        <v>2021</v>
      </c>
    </row>
    <row r="153" spans="1:6" x14ac:dyDescent="0.25">
      <c r="A153" s="26" t="s">
        <v>178</v>
      </c>
      <c r="B153" s="75">
        <f>B152+B154-1</f>
        <v>2024</v>
      </c>
    </row>
    <row r="154" spans="1:6" x14ac:dyDescent="0.25">
      <c r="A154" s="26" t="s">
        <v>179</v>
      </c>
      <c r="B154" s="71">
        <v>4</v>
      </c>
    </row>
    <row r="155" spans="1:6" x14ac:dyDescent="0.25">
      <c r="A155" s="73" t="s">
        <v>261</v>
      </c>
      <c r="B155" s="74">
        <v>0.02</v>
      </c>
      <c r="C155" s="175"/>
    </row>
    <row r="156" spans="1:6" x14ac:dyDescent="0.25">
      <c r="A156" s="73" t="s">
        <v>260</v>
      </c>
      <c r="B156" s="74">
        <v>4.5170000000000002E-2</v>
      </c>
      <c r="C156" s="175"/>
    </row>
    <row r="157" spans="1:6" x14ac:dyDescent="0.25">
      <c r="A157" s="73" t="s">
        <v>259</v>
      </c>
      <c r="B157" s="74">
        <v>0.16435</v>
      </c>
      <c r="C157" s="175"/>
    </row>
    <row r="158" spans="1:6" x14ac:dyDescent="0.25">
      <c r="A158" s="26" t="s">
        <v>255</v>
      </c>
      <c r="B158" s="74">
        <v>3.8199999999999998E-2</v>
      </c>
      <c r="C158" s="175"/>
    </row>
    <row r="159" spans="1:6" x14ac:dyDescent="0.25">
      <c r="A159" s="26" t="s">
        <v>256</v>
      </c>
      <c r="B159" s="74">
        <v>3.49E-2</v>
      </c>
      <c r="C159" s="175"/>
    </row>
    <row r="160" spans="1:6" x14ac:dyDescent="0.25">
      <c r="A160" s="26" t="s">
        <v>257</v>
      </c>
      <c r="B160" s="74">
        <v>3.2500000000000001E-2</v>
      </c>
      <c r="C160" s="175"/>
    </row>
    <row r="161" spans="1:6" x14ac:dyDescent="0.25">
      <c r="A161" s="26" t="s">
        <v>258</v>
      </c>
      <c r="B161" s="74">
        <v>3.2500000000000001E-2</v>
      </c>
      <c r="C161" s="175"/>
    </row>
    <row r="162" spans="1:6" x14ac:dyDescent="0.25">
      <c r="A162" s="26" t="s">
        <v>262</v>
      </c>
      <c r="B162" s="74">
        <f>(1+B158)</f>
        <v>1.0382</v>
      </c>
      <c r="C162" s="188"/>
    </row>
    <row r="163" spans="1:6" x14ac:dyDescent="0.25">
      <c r="A163" s="26" t="s">
        <v>263</v>
      </c>
      <c r="B163" s="74">
        <f>(1+B159)*B162</f>
        <v>1.07443318</v>
      </c>
      <c r="C163" s="188"/>
    </row>
    <row r="164" spans="1:6" x14ac:dyDescent="0.25">
      <c r="A164" s="26" t="s">
        <v>264</v>
      </c>
      <c r="B164" s="74">
        <f>(1+B160)*B163</f>
        <v>1.10935225835</v>
      </c>
      <c r="C164" s="188"/>
    </row>
    <row r="165" spans="1:6" x14ac:dyDescent="0.25">
      <c r="A165" s="26" t="s">
        <v>265</v>
      </c>
      <c r="B165" s="74">
        <f>(1+B161)*B164</f>
        <v>1.1454062067463748</v>
      </c>
      <c r="C165" s="188"/>
    </row>
    <row r="166" spans="1:6" x14ac:dyDescent="0.25">
      <c r="A166" s="26" t="s">
        <v>274</v>
      </c>
      <c r="B166" s="168">
        <v>5.4440037603102223</v>
      </c>
      <c r="C166" s="175"/>
    </row>
    <row r="167" spans="1:6" x14ac:dyDescent="0.25">
      <c r="A167" s="3" t="s">
        <v>250</v>
      </c>
      <c r="B167" s="182"/>
    </row>
    <row r="168" spans="1:6" x14ac:dyDescent="0.25"/>
    <row r="169" spans="1:6" x14ac:dyDescent="0.25">
      <c r="A169" s="137" t="s">
        <v>197</v>
      </c>
    </row>
    <row r="170" spans="1:6" x14ac:dyDescent="0.25">
      <c r="A170" s="25" t="s">
        <v>113</v>
      </c>
      <c r="B170" s="25" t="s">
        <v>67</v>
      </c>
      <c r="C170" s="118" t="s">
        <v>198</v>
      </c>
      <c r="D170" s="188"/>
    </row>
    <row r="171" spans="1:6" x14ac:dyDescent="0.25">
      <c r="A171" s="73" t="s">
        <v>206</v>
      </c>
      <c r="B171" s="117">
        <v>1708762658.6800001</v>
      </c>
      <c r="C171" s="119" t="s">
        <v>199</v>
      </c>
    </row>
    <row r="172" spans="1:6" x14ac:dyDescent="0.25">
      <c r="A172" s="73" t="s">
        <v>244</v>
      </c>
      <c r="B172" s="117">
        <f>-7637506.07+40924630.55+13628762.78</f>
        <v>46915887.259999998</v>
      </c>
      <c r="C172" s="119" t="s">
        <v>200</v>
      </c>
      <c r="D172" s="188"/>
    </row>
    <row r="173" spans="1:6" x14ac:dyDescent="0.25">
      <c r="A173" s="73" t="s">
        <v>207</v>
      </c>
      <c r="B173" s="145">
        <v>176725588.99000001</v>
      </c>
      <c r="C173" s="119" t="s">
        <v>136</v>
      </c>
    </row>
    <row r="174" spans="1:6" x14ac:dyDescent="0.25">
      <c r="A174" s="73" t="s">
        <v>276</v>
      </c>
      <c r="B174" s="145">
        <v>50977624.52636978</v>
      </c>
      <c r="C174" s="119" t="s">
        <v>136</v>
      </c>
      <c r="D174" s="94"/>
    </row>
    <row r="175" spans="1:6" x14ac:dyDescent="0.25">
      <c r="A175" s="26" t="s">
        <v>282</v>
      </c>
      <c r="B175" s="117">
        <v>344035000</v>
      </c>
      <c r="C175" s="119" t="s">
        <v>136</v>
      </c>
      <c r="D175" s="94"/>
    </row>
    <row r="176" spans="1:6" x14ac:dyDescent="0.25">
      <c r="A176" s="3" t="s">
        <v>283</v>
      </c>
      <c r="F176" s="94"/>
    </row>
    <row r="177" spans="1:4" x14ac:dyDescent="0.25">
      <c r="D177" s="2"/>
    </row>
    <row r="178" spans="1:4" x14ac:dyDescent="0.25">
      <c r="A178" s="137" t="s">
        <v>273</v>
      </c>
    </row>
    <row r="179" spans="1:4" x14ac:dyDescent="0.25">
      <c r="A179" s="25" t="s">
        <v>269</v>
      </c>
      <c r="B179" s="25" t="s">
        <v>271</v>
      </c>
    </row>
    <row r="180" spans="1:4" x14ac:dyDescent="0.25">
      <c r="A180" s="169" t="s">
        <v>270</v>
      </c>
      <c r="B180" s="185">
        <f>'A-DiferençaMédia'!K2</f>
        <v>-1.5738161367380873E-2</v>
      </c>
    </row>
    <row r="181" spans="1:4" x14ac:dyDescent="0.25">
      <c r="A181" s="3" t="s">
        <v>272</v>
      </c>
    </row>
    <row r="182" spans="1:4" x14ac:dyDescent="0.25">
      <c r="C182" s="188"/>
    </row>
    <row r="183" spans="1:4" x14ac:dyDescent="0.25"/>
    <row r="184" spans="1:4" x14ac:dyDescent="0.25"/>
    <row r="185" spans="1:4" x14ac:dyDescent="0.25">
      <c r="B185" s="2"/>
    </row>
    <row r="186" spans="1:4" x14ac:dyDescent="0.25"/>
    <row r="187" spans="1:4" x14ac:dyDescent="0.25"/>
    <row r="188" spans="1:4" x14ac:dyDescent="0.25"/>
    <row r="189" spans="1:4" x14ac:dyDescent="0.25"/>
    <row r="190" spans="1:4" x14ac:dyDescent="0.25"/>
    <row r="191" spans="1:4" x14ac:dyDescent="0.25"/>
    <row r="192" spans="1:4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25" x14ac:dyDescent="0.25"/>
    <row r="1048561" x14ac:dyDescent="0.25"/>
    <row r="1048576" x14ac:dyDescent="0.25"/>
  </sheetData>
  <mergeCells count="2">
    <mergeCell ref="D122:E122"/>
    <mergeCell ref="D131:E13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862D-C3D7-4680-8BB5-F92EC27BD8F4}">
  <sheetPr>
    <pageSetUpPr fitToPage="1"/>
  </sheetPr>
  <dimension ref="A3:O40"/>
  <sheetViews>
    <sheetView showGridLines="0" zoomScale="85" zoomScaleNormal="85" workbookViewId="0">
      <selection activeCell="A40" sqref="A40"/>
    </sheetView>
  </sheetViews>
  <sheetFormatPr defaultRowHeight="13.5" x14ac:dyDescent="0.25"/>
  <cols>
    <col min="1" max="1" width="46.140625" style="195" customWidth="1"/>
    <col min="2" max="2" width="16.28515625" style="195" bestFit="1" customWidth="1"/>
    <col min="3" max="13" width="12.5703125" style="195" bestFit="1" customWidth="1"/>
    <col min="14" max="14" width="14.28515625" style="195" bestFit="1" customWidth="1"/>
    <col min="15" max="15" width="11" style="195" bestFit="1" customWidth="1"/>
    <col min="16" max="17" width="9.140625" style="195"/>
    <col min="18" max="18" width="10.42578125" style="195" bestFit="1" customWidth="1"/>
    <col min="19" max="16384" width="9.140625" style="195"/>
  </cols>
  <sheetData>
    <row r="3" spans="1:15" ht="15" x14ac:dyDescent="0.25">
      <c r="A3" s="243" t="s">
        <v>288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5"/>
    </row>
    <row r="5" spans="1:15" x14ac:dyDescent="0.25">
      <c r="A5" s="198" t="s">
        <v>10</v>
      </c>
      <c r="B5" s="199">
        <v>42736</v>
      </c>
      <c r="C5" s="199">
        <v>42767</v>
      </c>
      <c r="D5" s="199">
        <v>42795</v>
      </c>
      <c r="E5" s="199">
        <v>42826</v>
      </c>
      <c r="F5" s="199">
        <v>42856</v>
      </c>
      <c r="G5" s="199">
        <v>42887</v>
      </c>
      <c r="H5" s="199">
        <v>42917</v>
      </c>
      <c r="I5" s="199">
        <v>42948</v>
      </c>
      <c r="J5" s="199">
        <v>42979</v>
      </c>
      <c r="K5" s="199">
        <v>43009</v>
      </c>
      <c r="L5" s="199">
        <v>43040</v>
      </c>
      <c r="M5" s="199">
        <v>43070</v>
      </c>
      <c r="N5" s="199" t="s">
        <v>289</v>
      </c>
    </row>
    <row r="6" spans="1:15" x14ac:dyDescent="0.25">
      <c r="A6" s="200" t="s">
        <v>290</v>
      </c>
      <c r="B6" s="201">
        <v>333709956.99000001</v>
      </c>
      <c r="C6" s="201">
        <v>294328155.57000035</v>
      </c>
      <c r="D6" s="201">
        <v>327811667.06000054</v>
      </c>
      <c r="E6" s="201">
        <v>297284996.75000083</v>
      </c>
      <c r="F6" s="201">
        <v>315053856.07999951</v>
      </c>
      <c r="G6" s="201">
        <v>321240335.16000032</v>
      </c>
      <c r="H6" s="201">
        <v>349365426.93000174</v>
      </c>
      <c r="I6" s="201">
        <v>341488518.49999952</v>
      </c>
      <c r="J6" s="201">
        <v>347208654.30999982</v>
      </c>
      <c r="K6" s="201">
        <v>355943239.6699996</v>
      </c>
      <c r="L6" s="201">
        <v>330927364.30000144</v>
      </c>
      <c r="M6" s="201">
        <v>362827175.14000195</v>
      </c>
      <c r="N6" s="201">
        <v>3977189346.4600058</v>
      </c>
      <c r="O6" s="196"/>
    </row>
    <row r="7" spans="1:15" ht="15.75" x14ac:dyDescent="0.25">
      <c r="A7" s="200" t="s">
        <v>291</v>
      </c>
      <c r="B7" s="202">
        <v>7.0002467299999996E-2</v>
      </c>
      <c r="C7" s="203">
        <v>7.0002467299999996E-2</v>
      </c>
      <c r="D7" s="203">
        <v>7.0002467299999996E-2</v>
      </c>
      <c r="E7" s="203">
        <v>7.0002467299999996E-2</v>
      </c>
      <c r="F7" s="203">
        <v>7.0002467299999996E-2</v>
      </c>
      <c r="G7" s="203">
        <v>7.0002467299999996E-2</v>
      </c>
      <c r="H7" s="203">
        <v>7.0002467299999996E-2</v>
      </c>
      <c r="I7" s="203">
        <v>7.0002467299999996E-2</v>
      </c>
      <c r="J7" s="203">
        <v>7.0002467299999996E-2</v>
      </c>
      <c r="K7" s="203">
        <v>7.0002467299999996E-2</v>
      </c>
      <c r="L7" s="203">
        <v>7.0002467299999996E-2</v>
      </c>
      <c r="M7" s="203">
        <v>7.0002467299999996E-2</v>
      </c>
      <c r="N7" s="203">
        <v>7.0002467299999996E-2</v>
      </c>
    </row>
    <row r="8" spans="1:15" x14ac:dyDescent="0.25">
      <c r="A8" s="200" t="s">
        <v>314</v>
      </c>
      <c r="B8" s="201">
        <v>23360520.351876881</v>
      </c>
      <c r="C8" s="201">
        <v>20603697.085758261</v>
      </c>
      <c r="D8" s="201">
        <v>22947625.503926173</v>
      </c>
      <c r="E8" s="201">
        <v>20810683.26377254</v>
      </c>
      <c r="F8" s="201">
        <v>22054547.257979069</v>
      </c>
      <c r="G8" s="201">
        <v>22487616.057478961</v>
      </c>
      <c r="H8" s="201">
        <v>24456441.874417983</v>
      </c>
      <c r="I8" s="201">
        <v>23905038.849621661</v>
      </c>
      <c r="J8" s="201">
        <v>24305462.469612766</v>
      </c>
      <c r="K8" s="201">
        <v>24916904.995655209</v>
      </c>
      <c r="L8" s="201">
        <v>23165731.998086035</v>
      </c>
      <c r="M8" s="201">
        <v>25398797.463289358</v>
      </c>
      <c r="N8" s="201">
        <v>278413067.17147493</v>
      </c>
    </row>
    <row r="9" spans="1:15" x14ac:dyDescent="0.25">
      <c r="A9" s="200" t="s">
        <v>292</v>
      </c>
      <c r="B9" s="201">
        <v>310349436.63812315</v>
      </c>
      <c r="C9" s="201">
        <v>273724458.48424208</v>
      </c>
      <c r="D9" s="201">
        <v>304864041.55607438</v>
      </c>
      <c r="E9" s="201">
        <v>276474313.48622829</v>
      </c>
      <c r="F9" s="201">
        <v>292999308.82202041</v>
      </c>
      <c r="G9" s="201">
        <v>298752719.10252136</v>
      </c>
      <c r="H9" s="201">
        <v>324908985.05558378</v>
      </c>
      <c r="I9" s="201">
        <v>317583479.65037787</v>
      </c>
      <c r="J9" s="201">
        <v>322903191.84038705</v>
      </c>
      <c r="K9" s="201">
        <v>331026334.67434442</v>
      </c>
      <c r="L9" s="201">
        <v>307761632.30191541</v>
      </c>
      <c r="M9" s="201">
        <v>337428377.67671257</v>
      </c>
      <c r="N9" s="201">
        <v>3698776279.2885308</v>
      </c>
    </row>
    <row r="10" spans="1:15" x14ac:dyDescent="0.25">
      <c r="A10" s="200" t="s">
        <v>293</v>
      </c>
      <c r="B10" s="201">
        <v>86932615</v>
      </c>
      <c r="C10" s="201">
        <v>86962902</v>
      </c>
      <c r="D10" s="201">
        <v>87446586</v>
      </c>
      <c r="E10" s="201">
        <v>86036690</v>
      </c>
      <c r="F10" s="201">
        <v>84286950</v>
      </c>
      <c r="G10" s="201">
        <v>68431908</v>
      </c>
      <c r="H10" s="201">
        <v>71228977</v>
      </c>
      <c r="I10" s="201">
        <v>72413870</v>
      </c>
      <c r="J10" s="201">
        <v>76191022</v>
      </c>
      <c r="K10" s="201">
        <v>74629132</v>
      </c>
      <c r="L10" s="201">
        <v>73997827</v>
      </c>
      <c r="M10" s="201">
        <v>72692700</v>
      </c>
      <c r="N10" s="201">
        <v>941251179</v>
      </c>
    </row>
    <row r="11" spans="1:15" ht="15" x14ac:dyDescent="0.25">
      <c r="A11" s="204" t="s">
        <v>304</v>
      </c>
      <c r="B11" s="205">
        <v>3.5700000125168576</v>
      </c>
      <c r="C11" s="205">
        <v>3.1476003236902339</v>
      </c>
      <c r="D11" s="205">
        <v>3.4862886649008158</v>
      </c>
      <c r="E11" s="205">
        <v>3.2134466526574683</v>
      </c>
      <c r="F11" s="205">
        <v>3.4762120212206091</v>
      </c>
      <c r="G11" s="205">
        <v>4.3656932538330127</v>
      </c>
      <c r="H11" s="205">
        <v>4.5614720123747361</v>
      </c>
      <c r="I11" s="205">
        <v>4.3856719665773678</v>
      </c>
      <c r="J11" s="205">
        <v>4.2380740324022304</v>
      </c>
      <c r="K11" s="205">
        <v>4.4356181802348233</v>
      </c>
      <c r="L11" s="205">
        <v>4.1590631073790236</v>
      </c>
      <c r="M11" s="205">
        <v>4.6418468109825683</v>
      </c>
      <c r="N11" s="205">
        <v>3.9296378711771376</v>
      </c>
    </row>
    <row r="13" spans="1:15" x14ac:dyDescent="0.25">
      <c r="A13" s="198" t="s">
        <v>10</v>
      </c>
      <c r="B13" s="199">
        <v>43101</v>
      </c>
      <c r="C13" s="199">
        <v>43132</v>
      </c>
      <c r="D13" s="199">
        <v>43160</v>
      </c>
      <c r="E13" s="199">
        <v>43191</v>
      </c>
      <c r="F13" s="199">
        <v>43221</v>
      </c>
      <c r="G13" s="199">
        <v>43252</v>
      </c>
      <c r="H13" s="199">
        <v>43282</v>
      </c>
      <c r="I13" s="199">
        <v>43313</v>
      </c>
      <c r="J13" s="199">
        <v>43344</v>
      </c>
      <c r="K13" s="199">
        <v>43374</v>
      </c>
      <c r="L13" s="199">
        <v>43405</v>
      </c>
      <c r="M13" s="199">
        <v>43435</v>
      </c>
      <c r="N13" s="199" t="s">
        <v>289</v>
      </c>
    </row>
    <row r="14" spans="1:15" x14ac:dyDescent="0.25">
      <c r="A14" s="200" t="s">
        <v>290</v>
      </c>
      <c r="B14" s="201">
        <v>356815929.89999974</v>
      </c>
      <c r="C14" s="201">
        <v>315736163.40000004</v>
      </c>
      <c r="D14" s="201">
        <v>361422226.74999976</v>
      </c>
      <c r="E14" s="201">
        <v>343975587.43000019</v>
      </c>
      <c r="F14" s="201">
        <v>363983088.72999847</v>
      </c>
      <c r="G14" s="201">
        <v>343226525.94999987</v>
      </c>
      <c r="H14" s="201">
        <v>356573498.19999868</v>
      </c>
      <c r="I14" s="201">
        <v>362440700.44999897</v>
      </c>
      <c r="J14" s="201">
        <v>349395840.25000077</v>
      </c>
      <c r="K14" s="201">
        <v>366426972.24999952</v>
      </c>
      <c r="L14" s="201">
        <v>361995187.66999984</v>
      </c>
      <c r="M14" s="201">
        <v>401867573.21999896</v>
      </c>
      <c r="N14" s="201">
        <v>4283859294.1999946</v>
      </c>
      <c r="O14" s="196"/>
    </row>
    <row r="15" spans="1:15" ht="15.75" x14ac:dyDescent="0.25">
      <c r="A15" s="200" t="s">
        <v>291</v>
      </c>
      <c r="B15" s="202">
        <v>7.0015617299999999E-2</v>
      </c>
      <c r="C15" s="203">
        <v>7.0015617299999999E-2</v>
      </c>
      <c r="D15" s="203">
        <v>7.0015617299999999E-2</v>
      </c>
      <c r="E15" s="203">
        <v>7.0015617299999999E-2</v>
      </c>
      <c r="F15" s="203">
        <v>7.0015617299999999E-2</v>
      </c>
      <c r="G15" s="203">
        <v>7.0015617299999999E-2</v>
      </c>
      <c r="H15" s="203">
        <v>7.0015617299999999E-2</v>
      </c>
      <c r="I15" s="203">
        <v>7.0015617299999999E-2</v>
      </c>
      <c r="J15" s="203">
        <v>7.0015617299999999E-2</v>
      </c>
      <c r="K15" s="203">
        <v>7.0015617299999999E-2</v>
      </c>
      <c r="L15" s="203">
        <v>7.0015617299999999E-2</v>
      </c>
      <c r="M15" s="203">
        <v>7.0015617299999999E-2</v>
      </c>
      <c r="N15" s="203">
        <v>7.0015617299999999E-2</v>
      </c>
    </row>
    <row r="16" spans="1:15" x14ac:dyDescent="0.25">
      <c r="A16" s="200" t="s">
        <v>314</v>
      </c>
      <c r="B16" s="201">
        <v>24982687.594422009</v>
      </c>
      <c r="C16" s="201">
        <v>22106462.384384669</v>
      </c>
      <c r="D16" s="201">
        <v>25305200.311841805</v>
      </c>
      <c r="E16" s="201">
        <v>24083663.090041582</v>
      </c>
      <c r="F16" s="201">
        <v>25484500.644191515</v>
      </c>
      <c r="G16" s="201">
        <v>24031217.088123709</v>
      </c>
      <c r="H16" s="201">
        <v>24965713.589293346</v>
      </c>
      <c r="I16" s="201">
        <v>25376509.376651067</v>
      </c>
      <c r="J16" s="201">
        <v>24463165.437155992</v>
      </c>
      <c r="K16" s="201">
        <v>25655610.657453686</v>
      </c>
      <c r="L16" s="201">
        <v>25345316.524344388</v>
      </c>
      <c r="M16" s="201">
        <v>28137006.211851176</v>
      </c>
      <c r="N16" s="201">
        <v>299937052.90975493</v>
      </c>
    </row>
    <row r="17" spans="1:15" x14ac:dyDescent="0.25">
      <c r="A17" s="200" t="s">
        <v>292</v>
      </c>
      <c r="B17" s="201">
        <v>331833242.30557775</v>
      </c>
      <c r="C17" s="201">
        <v>293629701.01561534</v>
      </c>
      <c r="D17" s="201">
        <v>336117026.43815798</v>
      </c>
      <c r="E17" s="201">
        <v>319891924.33995861</v>
      </c>
      <c r="F17" s="201">
        <v>338498588.08580697</v>
      </c>
      <c r="G17" s="201">
        <v>319195308.86187613</v>
      </c>
      <c r="H17" s="201">
        <v>331607784.61070532</v>
      </c>
      <c r="I17" s="201">
        <v>337064191.07334793</v>
      </c>
      <c r="J17" s="201">
        <v>324932674.81284475</v>
      </c>
      <c r="K17" s="201">
        <v>340771361.59254587</v>
      </c>
      <c r="L17" s="201">
        <v>336649871.14565545</v>
      </c>
      <c r="M17" s="201">
        <v>373730567.00814778</v>
      </c>
      <c r="N17" s="201">
        <v>3983922241.2902398</v>
      </c>
    </row>
    <row r="18" spans="1:15" x14ac:dyDescent="0.25">
      <c r="A18" s="200" t="s">
        <v>293</v>
      </c>
      <c r="B18" s="201">
        <v>74517760</v>
      </c>
      <c r="C18" s="201">
        <v>74256948</v>
      </c>
      <c r="D18" s="201">
        <v>73670501</v>
      </c>
      <c r="E18" s="201">
        <v>73715985</v>
      </c>
      <c r="F18" s="201">
        <v>76585726</v>
      </c>
      <c r="G18" s="201">
        <v>74430853</v>
      </c>
      <c r="H18" s="201">
        <v>72362687</v>
      </c>
      <c r="I18" s="201">
        <v>73615805</v>
      </c>
      <c r="J18" s="201">
        <v>73358428</v>
      </c>
      <c r="K18" s="201">
        <v>73805649</v>
      </c>
      <c r="L18" s="201">
        <v>75367103</v>
      </c>
      <c r="M18" s="201">
        <v>75802790</v>
      </c>
      <c r="N18" s="201">
        <v>891490235</v>
      </c>
    </row>
    <row r="19" spans="1:15" ht="15" x14ac:dyDescent="0.25">
      <c r="A19" s="204" t="s">
        <v>304</v>
      </c>
      <c r="B19" s="205">
        <v>4.4530759151318797</v>
      </c>
      <c r="C19" s="205">
        <v>3.9542387470006894</v>
      </c>
      <c r="D19" s="205">
        <v>4.5624370932153422</v>
      </c>
      <c r="E19" s="205">
        <v>4.3395190926358591</v>
      </c>
      <c r="F19" s="205">
        <v>4.419865238149038</v>
      </c>
      <c r="G19" s="205">
        <v>4.2884811337830042</v>
      </c>
      <c r="H19" s="205">
        <v>4.5825797570328657</v>
      </c>
      <c r="I19" s="205">
        <v>4.5786932720948705</v>
      </c>
      <c r="J19" s="205">
        <v>4.4293843757508649</v>
      </c>
      <c r="K19" s="205">
        <v>4.6171447065325024</v>
      </c>
      <c r="L19" s="205">
        <v>4.4668012666700943</v>
      </c>
      <c r="M19" s="205">
        <v>4.9303009428564275</v>
      </c>
      <c r="N19" s="205">
        <v>4.4688344133014981</v>
      </c>
    </row>
    <row r="21" spans="1:15" x14ac:dyDescent="0.25">
      <c r="A21" s="198" t="s">
        <v>10</v>
      </c>
      <c r="B21" s="199">
        <v>43466</v>
      </c>
      <c r="C21" s="199">
        <v>43497</v>
      </c>
      <c r="D21" s="199">
        <v>43525</v>
      </c>
      <c r="E21" s="199">
        <v>43556</v>
      </c>
      <c r="F21" s="199">
        <v>43586</v>
      </c>
      <c r="G21" s="199">
        <v>43617</v>
      </c>
      <c r="H21" s="199">
        <v>43647</v>
      </c>
      <c r="I21" s="199">
        <v>43678</v>
      </c>
      <c r="J21" s="199">
        <v>43709</v>
      </c>
      <c r="K21" s="199">
        <v>43739</v>
      </c>
      <c r="L21" s="199">
        <v>43770</v>
      </c>
      <c r="M21" s="199">
        <v>43800</v>
      </c>
      <c r="N21" s="199" t="s">
        <v>289</v>
      </c>
    </row>
    <row r="22" spans="1:15" x14ac:dyDescent="0.25">
      <c r="A22" s="200" t="s">
        <v>290</v>
      </c>
      <c r="B22" s="201">
        <v>405593258.25000024</v>
      </c>
      <c r="C22" s="201">
        <v>355582725.34999681</v>
      </c>
      <c r="D22" s="201">
        <v>372128943.21000051</v>
      </c>
      <c r="E22" s="201">
        <v>363729226.1600014</v>
      </c>
      <c r="F22" s="201">
        <v>380914406.49999911</v>
      </c>
      <c r="G22" s="201">
        <v>385450867.10999852</v>
      </c>
      <c r="H22" s="201">
        <v>404564550.36000049</v>
      </c>
      <c r="I22" s="201">
        <v>407681453.03000045</v>
      </c>
      <c r="J22" s="201">
        <v>409888765.30999863</v>
      </c>
      <c r="K22" s="201">
        <v>430949037.24999988</v>
      </c>
      <c r="L22" s="201">
        <v>440521188.46999902</v>
      </c>
      <c r="M22" s="201">
        <v>519078076.40000141</v>
      </c>
      <c r="N22" s="201">
        <v>4876082497.3999968</v>
      </c>
      <c r="O22" s="196"/>
    </row>
    <row r="23" spans="1:15" ht="15.75" x14ac:dyDescent="0.25">
      <c r="A23" s="200" t="s">
        <v>291</v>
      </c>
      <c r="B23" s="202">
        <v>6.9387837899999999E-2</v>
      </c>
      <c r="C23" s="203">
        <v>6.9387837899999999E-2</v>
      </c>
      <c r="D23" s="203">
        <v>6.9387837899999999E-2</v>
      </c>
      <c r="E23" s="203">
        <v>6.9387837899999999E-2</v>
      </c>
      <c r="F23" s="203">
        <v>6.9387837899999999E-2</v>
      </c>
      <c r="G23" s="203">
        <v>6.9387837899999999E-2</v>
      </c>
      <c r="H23" s="203">
        <v>6.9387837899999999E-2</v>
      </c>
      <c r="I23" s="203">
        <v>6.9387837899999999E-2</v>
      </c>
      <c r="J23" s="203">
        <v>6.9387837899999999E-2</v>
      </c>
      <c r="K23" s="203">
        <v>6.9387837899999999E-2</v>
      </c>
      <c r="L23" s="203">
        <v>6.9387837899999999E-2</v>
      </c>
      <c r="M23" s="203">
        <v>6.9387837899999999E-2</v>
      </c>
      <c r="N23" s="203">
        <v>6.9387837899999999E-2</v>
      </c>
    </row>
    <row r="24" spans="1:15" x14ac:dyDescent="0.25">
      <c r="A24" s="200" t="s">
        <v>314</v>
      </c>
      <c r="B24" s="201">
        <v>28143239.256783854</v>
      </c>
      <c r="C24" s="201">
        <v>24673116.506625798</v>
      </c>
      <c r="D24" s="201">
        <v>25821222.789353821</v>
      </c>
      <c r="E24" s="201">
        <v>25238384.584282614</v>
      </c>
      <c r="F24" s="201">
        <v>26430827.091996644</v>
      </c>
      <c r="G24" s="201">
        <v>26745602.285443019</v>
      </c>
      <c r="H24" s="201">
        <v>28071859.440466098</v>
      </c>
      <c r="I24" s="201">
        <v>28288134.577682134</v>
      </c>
      <c r="J24" s="201">
        <v>28441295.204361327</v>
      </c>
      <c r="K24" s="201">
        <v>29902621.939864054</v>
      </c>
      <c r="L24" s="201">
        <v>30566812.817071639</v>
      </c>
      <c r="M24" s="201">
        <v>36017705.422687113</v>
      </c>
      <c r="N24" s="201">
        <v>338340821.91661817</v>
      </c>
    </row>
    <row r="25" spans="1:15" x14ac:dyDescent="0.25">
      <c r="A25" s="200" t="s">
        <v>292</v>
      </c>
      <c r="B25" s="201">
        <v>377450018.9932164</v>
      </c>
      <c r="C25" s="201">
        <v>330909608.84337103</v>
      </c>
      <c r="D25" s="201">
        <v>346307720.42064667</v>
      </c>
      <c r="E25" s="201">
        <v>338490841.57571876</v>
      </c>
      <c r="F25" s="201">
        <v>354483579.40800244</v>
      </c>
      <c r="G25" s="201">
        <v>358705264.82455552</v>
      </c>
      <c r="H25" s="201">
        <v>376492690.91953439</v>
      </c>
      <c r="I25" s="201">
        <v>379393318.45231831</v>
      </c>
      <c r="J25" s="201">
        <v>381447470.10563731</v>
      </c>
      <c r="K25" s="201">
        <v>401046415.31013584</v>
      </c>
      <c r="L25" s="201">
        <v>409954375.6529274</v>
      </c>
      <c r="M25" s="201">
        <v>483060370.97731429</v>
      </c>
      <c r="N25" s="201">
        <v>4537741675.4833784</v>
      </c>
    </row>
    <row r="26" spans="1:15" x14ac:dyDescent="0.25">
      <c r="A26" s="200" t="s">
        <v>293</v>
      </c>
      <c r="B26" s="201">
        <v>80477286</v>
      </c>
      <c r="C26" s="201">
        <v>79912952</v>
      </c>
      <c r="D26" s="201">
        <v>77009944</v>
      </c>
      <c r="E26" s="201">
        <v>73004144</v>
      </c>
      <c r="F26" s="201">
        <v>75994162</v>
      </c>
      <c r="G26" s="201">
        <v>73841348</v>
      </c>
      <c r="H26" s="201">
        <v>74738478</v>
      </c>
      <c r="I26" s="201">
        <v>75806133</v>
      </c>
      <c r="J26" s="201">
        <v>77782396</v>
      </c>
      <c r="K26" s="201">
        <v>79950635</v>
      </c>
      <c r="L26" s="201">
        <v>80835144</v>
      </c>
      <c r="M26" s="201">
        <v>78339914</v>
      </c>
      <c r="N26" s="201">
        <v>927692536</v>
      </c>
    </row>
    <row r="27" spans="1:15" ht="15" x14ac:dyDescent="0.25">
      <c r="A27" s="204" t="s">
        <v>304</v>
      </c>
      <c r="B27" s="205">
        <v>4.6901434895955161</v>
      </c>
      <c r="C27" s="205">
        <v>4.1408757974973947</v>
      </c>
      <c r="D27" s="205">
        <v>4.4969221172352318</v>
      </c>
      <c r="E27" s="205">
        <v>4.6365976371932911</v>
      </c>
      <c r="F27" s="205">
        <v>4.6646159399455245</v>
      </c>
      <c r="G27" s="205">
        <v>4.8577832683194719</v>
      </c>
      <c r="H27" s="205">
        <v>5.037467994993615</v>
      </c>
      <c r="I27" s="205">
        <v>5.0047839592651204</v>
      </c>
      <c r="J27" s="205">
        <v>4.9040334281504689</v>
      </c>
      <c r="K27" s="205">
        <v>5.0161754851620106</v>
      </c>
      <c r="L27" s="205">
        <v>5.0714869222343122</v>
      </c>
      <c r="M27" s="205">
        <v>6.1662101260069582</v>
      </c>
      <c r="N27" s="205">
        <v>4.8914284629787925</v>
      </c>
    </row>
    <row r="29" spans="1:15" x14ac:dyDescent="0.25">
      <c r="A29" s="198" t="s">
        <v>10</v>
      </c>
      <c r="B29" s="199">
        <v>43831</v>
      </c>
      <c r="C29" s="199">
        <v>43862</v>
      </c>
      <c r="D29" s="199">
        <v>43891</v>
      </c>
      <c r="E29" s="199">
        <v>43922</v>
      </c>
      <c r="F29" s="199">
        <v>43952</v>
      </c>
      <c r="G29" s="199">
        <v>43983</v>
      </c>
      <c r="H29" s="199">
        <v>44013</v>
      </c>
      <c r="I29" s="199">
        <v>44044</v>
      </c>
      <c r="J29" s="199">
        <v>44075</v>
      </c>
      <c r="K29" s="199">
        <v>44105</v>
      </c>
      <c r="L29" s="199">
        <v>44136</v>
      </c>
      <c r="M29" s="199">
        <v>44166</v>
      </c>
      <c r="N29" s="199" t="s">
        <v>289</v>
      </c>
    </row>
    <row r="30" spans="1:15" x14ac:dyDescent="0.25">
      <c r="A30" s="200" t="s">
        <v>290</v>
      </c>
      <c r="B30" s="201">
        <v>438598382.86999899</v>
      </c>
      <c r="C30" s="201">
        <v>414416456.4199993</v>
      </c>
      <c r="D30" s="201">
        <v>438895624.44999886</v>
      </c>
      <c r="E30" s="201">
        <v>419331140.82000023</v>
      </c>
      <c r="F30" s="201">
        <v>412708949.40999997</v>
      </c>
      <c r="G30" s="201">
        <v>361676953.92000216</v>
      </c>
      <c r="H30" s="201">
        <v>399852448.27000093</v>
      </c>
      <c r="I30" s="201">
        <v>408495377.7499994</v>
      </c>
      <c r="J30" s="201">
        <v>398084700.3499999</v>
      </c>
      <c r="K30" s="201">
        <v>442791745.4699989</v>
      </c>
      <c r="L30" s="201">
        <v>411999380.43000132</v>
      </c>
      <c r="M30" s="201">
        <v>426799265.07000041</v>
      </c>
      <c r="N30" s="201">
        <v>4973650425.2300005</v>
      </c>
      <c r="O30" s="196"/>
    </row>
    <row r="31" spans="1:15" ht="15.75" x14ac:dyDescent="0.25">
      <c r="A31" s="200" t="s">
        <v>291</v>
      </c>
      <c r="B31" s="202">
        <v>6.9248952099999997E-2</v>
      </c>
      <c r="C31" s="203">
        <v>6.9248952099999997E-2</v>
      </c>
      <c r="D31" s="203">
        <v>6.9248952099999997E-2</v>
      </c>
      <c r="E31" s="203">
        <v>6.9248952099999997E-2</v>
      </c>
      <c r="F31" s="203">
        <v>6.9248952099999997E-2</v>
      </c>
      <c r="G31" s="203">
        <v>6.9248952099999997E-2</v>
      </c>
      <c r="H31" s="203">
        <v>6.9248952099999997E-2</v>
      </c>
      <c r="I31" s="203">
        <v>6.9248952099999997E-2</v>
      </c>
      <c r="J31" s="203">
        <v>6.9248952099999997E-2</v>
      </c>
      <c r="K31" s="203">
        <v>6.9248952099999997E-2</v>
      </c>
      <c r="L31" s="203">
        <v>6.9248952099999997E-2</v>
      </c>
      <c r="M31" s="203">
        <v>6.9248952099999997E-2</v>
      </c>
      <c r="N31" s="203">
        <v>6.9248952099999997E-2</v>
      </c>
    </row>
    <row r="32" spans="1:15" x14ac:dyDescent="0.25">
      <c r="A32" s="200" t="s">
        <v>314</v>
      </c>
      <c r="B32" s="201">
        <v>30372478.40650202</v>
      </c>
      <c r="C32" s="201">
        <v>28697905.340080269</v>
      </c>
      <c r="D32" s="201">
        <v>30393062.074437559</v>
      </c>
      <c r="E32" s="201">
        <v>29038242.08468255</v>
      </c>
      <c r="F32" s="201">
        <v>28579662.26893441</v>
      </c>
      <c r="G32" s="201">
        <v>25045750.057680137</v>
      </c>
      <c r="H32" s="201">
        <v>27689363.037317023</v>
      </c>
      <c r="I32" s="201">
        <v>28287876.846881114</v>
      </c>
      <c r="J32" s="201">
        <v>27566948.346279994</v>
      </c>
      <c r="K32" s="201">
        <v>30662864.372327343</v>
      </c>
      <c r="L32" s="201">
        <v>28530525.360626839</v>
      </c>
      <c r="M32" s="201">
        <v>29555401.863147661</v>
      </c>
      <c r="N32" s="201">
        <v>344420080.0588969</v>
      </c>
    </row>
    <row r="33" spans="1:14" x14ac:dyDescent="0.25">
      <c r="A33" s="200" t="s">
        <v>292</v>
      </c>
      <c r="B33" s="201">
        <v>408225904.46349698</v>
      </c>
      <c r="C33" s="201">
        <v>385718551.07991904</v>
      </c>
      <c r="D33" s="201">
        <v>408502562.3755613</v>
      </c>
      <c r="E33" s="201">
        <v>390292898.73531771</v>
      </c>
      <c r="F33" s="201">
        <v>384129287.14106554</v>
      </c>
      <c r="G33" s="201">
        <v>336631203.86232203</v>
      </c>
      <c r="H33" s="201">
        <v>372163085.2326839</v>
      </c>
      <c r="I33" s="201">
        <v>380207500.90311831</v>
      </c>
      <c r="J33" s="201">
        <v>370517752.00371993</v>
      </c>
      <c r="K33" s="201">
        <v>412128881.09767157</v>
      </c>
      <c r="L33" s="201">
        <v>383468855.0693745</v>
      </c>
      <c r="M33" s="201">
        <v>397243863.20685273</v>
      </c>
      <c r="N33" s="201">
        <v>4629230345.1711035</v>
      </c>
    </row>
    <row r="34" spans="1:14" x14ac:dyDescent="0.25">
      <c r="A34" s="200" t="s">
        <v>293</v>
      </c>
      <c r="B34" s="201">
        <v>81234823</v>
      </c>
      <c r="C34" s="201">
        <v>79920776</v>
      </c>
      <c r="D34" s="201">
        <v>79177126</v>
      </c>
      <c r="E34" s="201">
        <v>77420121</v>
      </c>
      <c r="F34" s="201">
        <v>76069020</v>
      </c>
      <c r="G34" s="201">
        <v>70561704</v>
      </c>
      <c r="H34" s="201">
        <v>72452443</v>
      </c>
      <c r="I34" s="201">
        <v>73558066</v>
      </c>
      <c r="J34" s="201">
        <v>76924304</v>
      </c>
      <c r="K34" s="201">
        <v>76563592</v>
      </c>
      <c r="L34" s="201">
        <v>78492482</v>
      </c>
      <c r="M34" s="201">
        <v>75920258</v>
      </c>
      <c r="N34" s="201">
        <v>918294715</v>
      </c>
    </row>
    <row r="35" spans="1:14" ht="15" x14ac:dyDescent="0.25">
      <c r="A35" s="204" t="s">
        <v>304</v>
      </c>
      <c r="B35" s="205">
        <v>5.0252575113445745</v>
      </c>
      <c r="C35" s="205">
        <v>4.8262613350991366</v>
      </c>
      <c r="D35" s="205">
        <v>5.1593507242932928</v>
      </c>
      <c r="E35" s="205">
        <v>5.0412333860252909</v>
      </c>
      <c r="F35" s="205">
        <v>5.0497467581554956</v>
      </c>
      <c r="G35" s="205">
        <v>4.770735183242202</v>
      </c>
      <c r="H35" s="205">
        <v>5.1366533663010356</v>
      </c>
      <c r="I35" s="205">
        <v>5.1688077403111485</v>
      </c>
      <c r="J35" s="205">
        <v>4.816653940784696</v>
      </c>
      <c r="K35" s="205">
        <v>5.3828310601946621</v>
      </c>
      <c r="L35" s="205">
        <v>4.8854214479977136</v>
      </c>
      <c r="M35" s="205">
        <v>5.2323829458911053</v>
      </c>
      <c r="N35" s="205">
        <v>5.0411161793206043</v>
      </c>
    </row>
    <row r="37" spans="1:14" x14ac:dyDescent="0.25">
      <c r="A37" s="195" t="s">
        <v>287</v>
      </c>
    </row>
    <row r="38" spans="1:14" ht="15.75" x14ac:dyDescent="0.25">
      <c r="A38" s="197" t="s">
        <v>294</v>
      </c>
    </row>
    <row r="39" spans="1:14" x14ac:dyDescent="0.25">
      <c r="A39" s="197" t="s">
        <v>312</v>
      </c>
    </row>
    <row r="40" spans="1:14" x14ac:dyDescent="0.25">
      <c r="A40" s="197" t="s">
        <v>313</v>
      </c>
    </row>
  </sheetData>
  <mergeCells count="1">
    <mergeCell ref="A3:N3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9D78-C9FA-4592-9F27-0708F17EC25B}">
  <dimension ref="A1:S31"/>
  <sheetViews>
    <sheetView zoomScale="85" zoomScaleNormal="85" workbookViewId="0">
      <selection activeCell="B33" sqref="B33"/>
    </sheetView>
  </sheetViews>
  <sheetFormatPr defaultRowHeight="16.5" x14ac:dyDescent="0.3"/>
  <cols>
    <col min="1" max="1" width="34.5703125" style="211" bestFit="1" customWidth="1"/>
    <col min="2" max="2" width="9.28515625" style="211" bestFit="1" customWidth="1"/>
    <col min="3" max="3" width="11" style="211" bestFit="1" customWidth="1"/>
    <col min="4" max="4" width="34.7109375" style="211" bestFit="1" customWidth="1"/>
    <col min="5" max="5" width="28" style="211" bestFit="1" customWidth="1"/>
    <col min="6" max="6" width="18.5703125" style="211" customWidth="1"/>
    <col min="7" max="7" width="9.28515625" style="211" bestFit="1" customWidth="1"/>
    <col min="8" max="8" width="9.7109375" style="211" bestFit="1" customWidth="1"/>
    <col min="9" max="9" width="9.28515625" style="211" bestFit="1" customWidth="1"/>
    <col min="10" max="10" width="9.42578125" style="211" bestFit="1" customWidth="1"/>
    <col min="11" max="12" width="9.28515625" style="211" bestFit="1" customWidth="1"/>
    <col min="13" max="13" width="9.7109375" style="211" bestFit="1" customWidth="1"/>
    <col min="14" max="17" width="9.28515625" style="211" bestFit="1" customWidth="1"/>
    <col min="18" max="16384" width="9.140625" style="211"/>
  </cols>
  <sheetData>
    <row r="1" spans="1:19" x14ac:dyDescent="0.3">
      <c r="A1" s="207" t="s">
        <v>307</v>
      </c>
      <c r="B1" s="210"/>
      <c r="C1" s="210"/>
      <c r="D1" s="210"/>
      <c r="E1" s="210"/>
    </row>
    <row r="2" spans="1:19" x14ac:dyDescent="0.3">
      <c r="A2" s="198" t="s">
        <v>295</v>
      </c>
      <c r="B2" s="199" t="s">
        <v>193</v>
      </c>
      <c r="C2" s="199" t="s">
        <v>296</v>
      </c>
      <c r="D2" s="199" t="s">
        <v>297</v>
      </c>
      <c r="E2" s="210"/>
      <c r="F2" s="246" t="s">
        <v>298</v>
      </c>
      <c r="G2" s="246"/>
      <c r="H2" s="246"/>
      <c r="I2" s="246"/>
      <c r="J2" s="247"/>
      <c r="K2" s="217">
        <f>AVERAGE('A-DiferençaMédia'!G13:M13,'A-DiferençaMédia'!B19:M19,'A-DiferençaMédia'!B25:M25,'A-DiferençaMédia'!B31:M31)</f>
        <v>-1.5738161367380873E-2</v>
      </c>
    </row>
    <row r="3" spans="1:19" x14ac:dyDescent="0.3">
      <c r="A3" s="200">
        <v>2017</v>
      </c>
      <c r="B3" s="206">
        <v>4.3939700000000004</v>
      </c>
      <c r="C3" s="218">
        <v>42872</v>
      </c>
      <c r="D3" s="219" t="s">
        <v>299</v>
      </c>
      <c r="E3" s="210"/>
    </row>
    <row r="4" spans="1:19" x14ac:dyDescent="0.3">
      <c r="A4" s="200">
        <v>2018</v>
      </c>
      <c r="B4" s="206">
        <v>4.6189681028851597</v>
      </c>
      <c r="C4" s="218">
        <v>43237</v>
      </c>
      <c r="D4" s="219" t="s">
        <v>300</v>
      </c>
      <c r="E4" s="210"/>
    </row>
    <row r="5" spans="1:19" ht="15" customHeight="1" x14ac:dyDescent="0.3">
      <c r="A5" s="200">
        <v>2019</v>
      </c>
      <c r="B5" s="206">
        <v>5.1792231933557051</v>
      </c>
      <c r="C5" s="218">
        <v>43602</v>
      </c>
      <c r="D5" s="219" t="s">
        <v>301</v>
      </c>
      <c r="E5" s="210"/>
      <c r="F5" s="248" t="s">
        <v>302</v>
      </c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</row>
    <row r="6" spans="1:19" x14ac:dyDescent="0.3">
      <c r="A6" s="200">
        <v>2020</v>
      </c>
      <c r="B6" s="206">
        <v>5.4440037603102223</v>
      </c>
      <c r="C6" s="218">
        <v>44228</v>
      </c>
      <c r="D6" s="219" t="s">
        <v>303</v>
      </c>
      <c r="E6" s="210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</row>
    <row r="7" spans="1:19" x14ac:dyDescent="0.3">
      <c r="A7" s="210"/>
      <c r="B7" s="210"/>
      <c r="C7" s="210"/>
      <c r="D7" s="210"/>
      <c r="E7" s="210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</row>
    <row r="8" spans="1:19" x14ac:dyDescent="0.3">
      <c r="A8" s="210"/>
      <c r="B8" s="210"/>
      <c r="C8" s="210"/>
      <c r="D8" s="210"/>
      <c r="E8" s="210"/>
    </row>
    <row r="9" spans="1:19" x14ac:dyDescent="0.3">
      <c r="A9" s="198">
        <v>2017</v>
      </c>
      <c r="B9" s="199">
        <v>42736</v>
      </c>
      <c r="C9" s="199">
        <v>42767</v>
      </c>
      <c r="D9" s="199">
        <v>42795</v>
      </c>
      <c r="E9" s="199">
        <v>42826</v>
      </c>
      <c r="F9" s="199">
        <v>42856</v>
      </c>
      <c r="G9" s="199">
        <v>42887</v>
      </c>
      <c r="H9" s="199">
        <v>42917</v>
      </c>
      <c r="I9" s="199">
        <v>42948</v>
      </c>
      <c r="J9" s="199">
        <v>42979</v>
      </c>
      <c r="K9" s="199">
        <v>43009</v>
      </c>
      <c r="L9" s="199">
        <v>43040</v>
      </c>
      <c r="M9" s="199">
        <v>43070</v>
      </c>
    </row>
    <row r="10" spans="1:19" x14ac:dyDescent="0.3">
      <c r="A10" s="200" t="s">
        <v>304</v>
      </c>
      <c r="B10" s="206">
        <f>'I-TarifaVerificada'!B11</f>
        <v>3.5700000125168576</v>
      </c>
      <c r="C10" s="206">
        <f>'I-TarifaVerificada'!C11</f>
        <v>3.1476003236902339</v>
      </c>
      <c r="D10" s="206">
        <f>'I-TarifaVerificada'!D11</f>
        <v>3.4862886649008158</v>
      </c>
      <c r="E10" s="206">
        <f>'I-TarifaVerificada'!E11</f>
        <v>3.2134466526574683</v>
      </c>
      <c r="F10" s="206">
        <f>'I-TarifaVerificada'!F11</f>
        <v>3.4762120212206091</v>
      </c>
      <c r="G10" s="206">
        <f>'I-TarifaVerificada'!G11</f>
        <v>4.3656932538330127</v>
      </c>
      <c r="H10" s="206">
        <f>'I-TarifaVerificada'!H11</f>
        <v>4.5614720123747361</v>
      </c>
      <c r="I10" s="206">
        <f>'I-TarifaVerificada'!I11</f>
        <v>4.3856719665773678</v>
      </c>
      <c r="J10" s="206">
        <f>'I-TarifaVerificada'!J11</f>
        <v>4.2380740324022304</v>
      </c>
      <c r="K10" s="206">
        <f>'I-TarifaVerificada'!K11</f>
        <v>4.4356181802348233</v>
      </c>
      <c r="L10" s="206">
        <f>'I-TarifaVerificada'!L11</f>
        <v>4.1590631073790236</v>
      </c>
      <c r="M10" s="206">
        <f>'I-TarifaVerificada'!M11</f>
        <v>4.6418468109825683</v>
      </c>
    </row>
    <row r="11" spans="1:19" x14ac:dyDescent="0.3">
      <c r="A11" s="200" t="s">
        <v>305</v>
      </c>
      <c r="B11" s="202"/>
      <c r="C11" s="202"/>
      <c r="D11" s="202"/>
      <c r="E11" s="202"/>
      <c r="F11" s="202"/>
      <c r="G11" s="215">
        <f>'A-DiferençaMédia'!$B$3</f>
        <v>4.3939700000000004</v>
      </c>
      <c r="H11" s="215">
        <f>'A-DiferençaMédia'!$B$3</f>
        <v>4.3939700000000004</v>
      </c>
      <c r="I11" s="215">
        <f>'A-DiferençaMédia'!$B$3</f>
        <v>4.3939700000000004</v>
      </c>
      <c r="J11" s="215">
        <f>'A-DiferençaMédia'!$B$3</f>
        <v>4.3939700000000004</v>
      </c>
      <c r="K11" s="215">
        <f>'A-DiferençaMédia'!$B$3</f>
        <v>4.3939700000000004</v>
      </c>
      <c r="L11" s="215">
        <f>'A-DiferençaMédia'!$B$3</f>
        <v>4.3939700000000004</v>
      </c>
      <c r="M11" s="215">
        <f>'A-DiferençaMédia'!$B$3</f>
        <v>4.3939700000000004</v>
      </c>
      <c r="R11" s="208"/>
    </row>
    <row r="12" spans="1:19" x14ac:dyDescent="0.3">
      <c r="A12" s="200" t="s">
        <v>46</v>
      </c>
      <c r="B12" s="201"/>
      <c r="C12" s="201"/>
      <c r="D12" s="201"/>
      <c r="E12" s="201"/>
      <c r="F12" s="201"/>
      <c r="G12" s="214">
        <f>G10-G11</f>
        <v>-2.8276746166987721E-2</v>
      </c>
      <c r="H12" s="214">
        <f t="shared" ref="H12:M12" si="0">H10-H11</f>
        <v>0.16750201237473572</v>
      </c>
      <c r="I12" s="214">
        <f t="shared" si="0"/>
        <v>-8.298033422632578E-3</v>
      </c>
      <c r="J12" s="214">
        <f t="shared" si="0"/>
        <v>-0.15589596759777002</v>
      </c>
      <c r="K12" s="214">
        <f t="shared" si="0"/>
        <v>4.1648180234822973E-2</v>
      </c>
      <c r="L12" s="214">
        <f t="shared" si="0"/>
        <v>-0.23490689262097675</v>
      </c>
      <c r="M12" s="214">
        <f t="shared" si="0"/>
        <v>0.24787681098256797</v>
      </c>
      <c r="R12" s="208"/>
    </row>
    <row r="13" spans="1:19" x14ac:dyDescent="0.3">
      <c r="A13" s="213" t="s">
        <v>306</v>
      </c>
      <c r="B13" s="213"/>
      <c r="C13" s="213"/>
      <c r="D13" s="213"/>
      <c r="E13" s="213"/>
      <c r="F13" s="213"/>
      <c r="G13" s="216">
        <f t="shared" ref="G13:M13" si="1">G12/G11</f>
        <v>-6.4353525779620065E-3</v>
      </c>
      <c r="H13" s="216">
        <f t="shared" si="1"/>
        <v>3.8120882112243758E-2</v>
      </c>
      <c r="I13" s="216">
        <f t="shared" si="1"/>
        <v>-1.8885047969450354E-3</v>
      </c>
      <c r="J13" s="216">
        <f t="shared" si="1"/>
        <v>-3.5479524802802483E-2</v>
      </c>
      <c r="K13" s="216">
        <f t="shared" si="1"/>
        <v>9.4784853412342301E-3</v>
      </c>
      <c r="L13" s="216">
        <f t="shared" si="1"/>
        <v>-5.3461196280579229E-2</v>
      </c>
      <c r="M13" s="216">
        <f t="shared" si="1"/>
        <v>5.6412950243758593E-2</v>
      </c>
      <c r="R13" s="209"/>
    </row>
    <row r="15" spans="1:19" x14ac:dyDescent="0.3">
      <c r="A15" s="198">
        <v>2018</v>
      </c>
      <c r="B15" s="199">
        <v>43101</v>
      </c>
      <c r="C15" s="199">
        <v>43132</v>
      </c>
      <c r="D15" s="199">
        <v>43160</v>
      </c>
      <c r="E15" s="199">
        <v>43191</v>
      </c>
      <c r="F15" s="199">
        <v>43221</v>
      </c>
      <c r="G15" s="199">
        <v>43252</v>
      </c>
      <c r="H15" s="199">
        <v>43282</v>
      </c>
      <c r="I15" s="199">
        <v>43313</v>
      </c>
      <c r="J15" s="199">
        <v>43344</v>
      </c>
      <c r="K15" s="199">
        <v>43374</v>
      </c>
      <c r="L15" s="199">
        <v>43405</v>
      </c>
      <c r="M15" s="199">
        <v>43435</v>
      </c>
    </row>
    <row r="16" spans="1:19" x14ac:dyDescent="0.3">
      <c r="A16" s="200" t="s">
        <v>304</v>
      </c>
      <c r="B16" s="206">
        <f>'I-TarifaVerificada'!B19</f>
        <v>4.4530759151318797</v>
      </c>
      <c r="C16" s="206">
        <f>'I-TarifaVerificada'!C19</f>
        <v>3.9542387470006894</v>
      </c>
      <c r="D16" s="206">
        <f>'I-TarifaVerificada'!D19</f>
        <v>4.5624370932153422</v>
      </c>
      <c r="E16" s="206">
        <f>'I-TarifaVerificada'!E19</f>
        <v>4.3395190926358591</v>
      </c>
      <c r="F16" s="206">
        <f>'I-TarifaVerificada'!F19</f>
        <v>4.419865238149038</v>
      </c>
      <c r="G16" s="206">
        <f>'I-TarifaVerificada'!G19</f>
        <v>4.2884811337830042</v>
      </c>
      <c r="H16" s="206">
        <f>'I-TarifaVerificada'!H19</f>
        <v>4.5825797570328657</v>
      </c>
      <c r="I16" s="206">
        <f>'I-TarifaVerificada'!I19</f>
        <v>4.5786932720948705</v>
      </c>
      <c r="J16" s="206">
        <f>'I-TarifaVerificada'!J19</f>
        <v>4.4293843757508649</v>
      </c>
      <c r="K16" s="206">
        <f>'I-TarifaVerificada'!K19</f>
        <v>4.6171447065325024</v>
      </c>
      <c r="L16" s="206">
        <f>'I-TarifaVerificada'!L19</f>
        <v>4.4668012666700943</v>
      </c>
      <c r="M16" s="206">
        <f>'I-TarifaVerificada'!M19</f>
        <v>4.9303009428564275</v>
      </c>
      <c r="S16" s="212"/>
    </row>
    <row r="17" spans="1:18" x14ac:dyDescent="0.3">
      <c r="A17" s="200" t="s">
        <v>305</v>
      </c>
      <c r="B17" s="215">
        <f>'A-DiferençaMédia'!$B$3</f>
        <v>4.3939700000000004</v>
      </c>
      <c r="C17" s="215">
        <f>'A-DiferençaMédia'!$B$3</f>
        <v>4.3939700000000004</v>
      </c>
      <c r="D17" s="215">
        <f>'A-DiferençaMédia'!$B$3</f>
        <v>4.3939700000000004</v>
      </c>
      <c r="E17" s="215">
        <f>'A-DiferençaMédia'!$B$3</f>
        <v>4.3939700000000004</v>
      </c>
      <c r="F17" s="215">
        <f>17/31*'A-DiferençaMédia'!$B$3+14/31*'A-DiferençaMédia'!$B$4</f>
        <v>4.495582046464266</v>
      </c>
      <c r="G17" s="215">
        <f>'A-DiferençaMédia'!$B$4</f>
        <v>4.6189681028851597</v>
      </c>
      <c r="H17" s="215">
        <f>'A-DiferençaMédia'!$B$4</f>
        <v>4.6189681028851597</v>
      </c>
      <c r="I17" s="215">
        <f>'A-DiferençaMédia'!$B$4</f>
        <v>4.6189681028851597</v>
      </c>
      <c r="J17" s="215">
        <f>'A-DiferençaMédia'!$B$4</f>
        <v>4.6189681028851597</v>
      </c>
      <c r="K17" s="215">
        <f>'A-DiferençaMédia'!$B$4</f>
        <v>4.6189681028851597</v>
      </c>
      <c r="L17" s="215">
        <f>'A-DiferençaMédia'!$B$4</f>
        <v>4.6189681028851597</v>
      </c>
      <c r="M17" s="215">
        <f>'A-DiferençaMédia'!$B$4</f>
        <v>4.6189681028851597</v>
      </c>
      <c r="R17" s="208"/>
    </row>
    <row r="18" spans="1:18" x14ac:dyDescent="0.3">
      <c r="A18" s="200" t="s">
        <v>46</v>
      </c>
      <c r="B18" s="214">
        <f>B16-B17</f>
        <v>5.910591513187935E-2</v>
      </c>
      <c r="C18" s="214">
        <f t="shared" ref="C18:M18" si="2">C16-C17</f>
        <v>-0.43973125299931093</v>
      </c>
      <c r="D18" s="214">
        <f t="shared" si="2"/>
        <v>0.16846709321534181</v>
      </c>
      <c r="E18" s="214">
        <f t="shared" si="2"/>
        <v>-5.4450907364141266E-2</v>
      </c>
      <c r="F18" s="214">
        <f t="shared" si="2"/>
        <v>-7.5716808315227979E-2</v>
      </c>
      <c r="G18" s="214">
        <f t="shared" si="2"/>
        <v>-0.33048696910215547</v>
      </c>
      <c r="H18" s="214">
        <f t="shared" si="2"/>
        <v>-3.6388345852294002E-2</v>
      </c>
      <c r="I18" s="214">
        <f t="shared" si="2"/>
        <v>-4.0274830790289151E-2</v>
      </c>
      <c r="J18" s="214">
        <f t="shared" si="2"/>
        <v>-0.18958372713429483</v>
      </c>
      <c r="K18" s="214">
        <f t="shared" si="2"/>
        <v>-1.8233963526572694E-3</v>
      </c>
      <c r="L18" s="214">
        <f t="shared" si="2"/>
        <v>-0.15216683621506544</v>
      </c>
      <c r="M18" s="214">
        <f t="shared" si="2"/>
        <v>0.31133283997126782</v>
      </c>
      <c r="R18" s="208"/>
    </row>
    <row r="19" spans="1:18" x14ac:dyDescent="0.3">
      <c r="A19" s="213" t="s">
        <v>306</v>
      </c>
      <c r="B19" s="216">
        <f t="shared" ref="B19:M19" si="3">B18/B17</f>
        <v>1.3451597332680774E-2</v>
      </c>
      <c r="C19" s="216">
        <f t="shared" si="3"/>
        <v>-0.10007607084238419</v>
      </c>
      <c r="D19" s="216">
        <f t="shared" si="3"/>
        <v>3.8340519670216636E-2</v>
      </c>
      <c r="E19" s="216">
        <f t="shared" si="3"/>
        <v>-1.2392189151073235E-2</v>
      </c>
      <c r="F19" s="216">
        <f t="shared" si="3"/>
        <v>-1.6842492814646448E-2</v>
      </c>
      <c r="G19" s="216">
        <f t="shared" si="3"/>
        <v>-7.1549956990549987E-2</v>
      </c>
      <c r="H19" s="216">
        <f t="shared" si="3"/>
        <v>-7.8780249271616833E-3</v>
      </c>
      <c r="I19" s="216">
        <f t="shared" si="3"/>
        <v>-8.7194433676933518E-3</v>
      </c>
      <c r="J19" s="216">
        <f t="shared" si="3"/>
        <v>-4.1044606265168745E-2</v>
      </c>
      <c r="K19" s="216">
        <f t="shared" si="3"/>
        <v>-3.9476270717659121E-4</v>
      </c>
      <c r="L19" s="216">
        <f t="shared" si="3"/>
        <v>-3.2943902799418993E-2</v>
      </c>
      <c r="M19" s="216">
        <f t="shared" si="3"/>
        <v>6.7403115379125272E-2</v>
      </c>
      <c r="R19" s="209"/>
    </row>
    <row r="21" spans="1:18" x14ac:dyDescent="0.3">
      <c r="A21" s="198">
        <v>2019</v>
      </c>
      <c r="B21" s="199">
        <v>43466</v>
      </c>
      <c r="C21" s="199">
        <v>43497</v>
      </c>
      <c r="D21" s="199">
        <v>43525</v>
      </c>
      <c r="E21" s="199">
        <v>43556</v>
      </c>
      <c r="F21" s="199">
        <v>43586</v>
      </c>
      <c r="G21" s="199">
        <v>43617</v>
      </c>
      <c r="H21" s="199">
        <v>43647</v>
      </c>
      <c r="I21" s="199">
        <v>43678</v>
      </c>
      <c r="J21" s="199">
        <v>43709</v>
      </c>
      <c r="K21" s="199">
        <v>43739</v>
      </c>
      <c r="L21" s="199">
        <v>43770</v>
      </c>
      <c r="M21" s="199">
        <v>43800</v>
      </c>
    </row>
    <row r="22" spans="1:18" x14ac:dyDescent="0.3">
      <c r="A22" s="200" t="s">
        <v>304</v>
      </c>
      <c r="B22" s="206">
        <f>'I-TarifaVerificada'!B27</f>
        <v>4.6901434895955161</v>
      </c>
      <c r="C22" s="206">
        <f>'I-TarifaVerificada'!C27</f>
        <v>4.1408757974973947</v>
      </c>
      <c r="D22" s="206">
        <f>'I-TarifaVerificada'!D27</f>
        <v>4.4969221172352318</v>
      </c>
      <c r="E22" s="206">
        <f>'I-TarifaVerificada'!E27</f>
        <v>4.6365976371932911</v>
      </c>
      <c r="F22" s="206">
        <f>'I-TarifaVerificada'!F27</f>
        <v>4.6646159399455245</v>
      </c>
      <c r="G22" s="206">
        <f>'I-TarifaVerificada'!G27</f>
        <v>4.8577832683194719</v>
      </c>
      <c r="H22" s="206">
        <f>'I-TarifaVerificada'!H27</f>
        <v>5.037467994993615</v>
      </c>
      <c r="I22" s="206">
        <f>'I-TarifaVerificada'!I27</f>
        <v>5.0047839592651204</v>
      </c>
      <c r="J22" s="206">
        <f>'I-TarifaVerificada'!J27</f>
        <v>4.9040334281504689</v>
      </c>
      <c r="K22" s="206">
        <f>'I-TarifaVerificada'!K27</f>
        <v>5.0161754851620106</v>
      </c>
      <c r="L22" s="206">
        <f>'I-TarifaVerificada'!L27</f>
        <v>5.0714869222343122</v>
      </c>
      <c r="M22" s="206">
        <f>'I-TarifaVerificada'!M27</f>
        <v>6.1662101260069582</v>
      </c>
    </row>
    <row r="23" spans="1:18" x14ac:dyDescent="0.3">
      <c r="A23" s="200" t="s">
        <v>305</v>
      </c>
      <c r="B23" s="215">
        <f>'A-DiferençaMédia'!$B$4</f>
        <v>4.6189681028851597</v>
      </c>
      <c r="C23" s="215">
        <f>'A-DiferençaMédia'!$B$4</f>
        <v>4.6189681028851597</v>
      </c>
      <c r="D23" s="215">
        <f>'A-DiferençaMédia'!$B$4</f>
        <v>4.6189681028851597</v>
      </c>
      <c r="E23" s="215">
        <f>'A-DiferençaMédia'!$B$4</f>
        <v>4.6189681028851597</v>
      </c>
      <c r="F23" s="215">
        <f>17/31*'A-DiferençaMédia'!$B$4+14/31*'A-DiferençaMédia'!$B$5</f>
        <v>4.8719865308395995</v>
      </c>
      <c r="G23" s="215">
        <f>'A-DiferençaMédia'!$B$5</f>
        <v>5.1792231933557051</v>
      </c>
      <c r="H23" s="215">
        <f>'A-DiferençaMédia'!$B$5</f>
        <v>5.1792231933557051</v>
      </c>
      <c r="I23" s="215">
        <f>'A-DiferençaMédia'!$B$5</f>
        <v>5.1792231933557051</v>
      </c>
      <c r="J23" s="215">
        <f>'A-DiferençaMédia'!$B$5</f>
        <v>5.1792231933557051</v>
      </c>
      <c r="K23" s="215">
        <f>'A-DiferençaMédia'!$B$5</f>
        <v>5.1792231933557051</v>
      </c>
      <c r="L23" s="215">
        <f>'A-DiferençaMédia'!$B$5</f>
        <v>5.1792231933557051</v>
      </c>
      <c r="M23" s="215">
        <f>'A-DiferençaMédia'!$B$5</f>
        <v>5.1792231933557051</v>
      </c>
      <c r="R23" s="208"/>
    </row>
    <row r="24" spans="1:18" x14ac:dyDescent="0.3">
      <c r="A24" s="200" t="s">
        <v>46</v>
      </c>
      <c r="B24" s="214">
        <f>B22-B23</f>
        <v>7.1175386710356392E-2</v>
      </c>
      <c r="C24" s="214">
        <f t="shared" ref="C24:M24" si="4">C22-C23</f>
        <v>-0.47809230538776504</v>
      </c>
      <c r="D24" s="214">
        <f t="shared" si="4"/>
        <v>-0.12204598564992786</v>
      </c>
      <c r="E24" s="214">
        <f t="shared" si="4"/>
        <v>1.7629534308131412E-2</v>
      </c>
      <c r="F24" s="214">
        <f t="shared" si="4"/>
        <v>-0.20737059089407506</v>
      </c>
      <c r="G24" s="214">
        <f t="shared" si="4"/>
        <v>-0.3214399250362332</v>
      </c>
      <c r="H24" s="214">
        <f t="shared" si="4"/>
        <v>-0.14175519836209016</v>
      </c>
      <c r="I24" s="214">
        <f t="shared" si="4"/>
        <v>-0.1744392340905847</v>
      </c>
      <c r="J24" s="214">
        <f t="shared" si="4"/>
        <v>-0.27518976520523619</v>
      </c>
      <c r="K24" s="214">
        <f t="shared" si="4"/>
        <v>-0.16304770819369452</v>
      </c>
      <c r="L24" s="214">
        <f t="shared" si="4"/>
        <v>-0.10773627112139295</v>
      </c>
      <c r="M24" s="214">
        <f t="shared" si="4"/>
        <v>0.98698693265125303</v>
      </c>
      <c r="R24" s="208"/>
    </row>
    <row r="25" spans="1:18" x14ac:dyDescent="0.3">
      <c r="A25" s="213" t="s">
        <v>306</v>
      </c>
      <c r="B25" s="216">
        <f t="shared" ref="B25:M25" si="5">B24/B23</f>
        <v>1.5409369609176972E-2</v>
      </c>
      <c r="C25" s="216">
        <f t="shared" si="5"/>
        <v>-0.10350630156747193</v>
      </c>
      <c r="D25" s="216">
        <f t="shared" si="5"/>
        <v>-2.6422781654130478E-2</v>
      </c>
      <c r="E25" s="216">
        <f t="shared" si="5"/>
        <v>3.8167690088873798E-3</v>
      </c>
      <c r="F25" s="216">
        <f t="shared" si="5"/>
        <v>-4.2563867855837122E-2</v>
      </c>
      <c r="G25" s="216">
        <f t="shared" si="5"/>
        <v>-6.2063346767638895E-2</v>
      </c>
      <c r="H25" s="216">
        <f t="shared" si="5"/>
        <v>-2.7369972883953781E-2</v>
      </c>
      <c r="I25" s="216">
        <f t="shared" si="5"/>
        <v>-3.3680578646305186E-2</v>
      </c>
      <c r="J25" s="216">
        <f t="shared" si="5"/>
        <v>-5.3133405325777462E-2</v>
      </c>
      <c r="K25" s="216">
        <f t="shared" si="5"/>
        <v>-3.1481112534957813E-2</v>
      </c>
      <c r="L25" s="216">
        <f t="shared" si="5"/>
        <v>-2.0801627406134011E-2</v>
      </c>
      <c r="M25" s="216">
        <f t="shared" si="5"/>
        <v>0.19056659576235943</v>
      </c>
      <c r="R25" s="209"/>
    </row>
    <row r="27" spans="1:18" x14ac:dyDescent="0.3">
      <c r="A27" s="198">
        <v>2020</v>
      </c>
      <c r="B27" s="199">
        <v>43831</v>
      </c>
      <c r="C27" s="199">
        <v>43862</v>
      </c>
      <c r="D27" s="199">
        <v>43891</v>
      </c>
      <c r="E27" s="199">
        <v>43922</v>
      </c>
      <c r="F27" s="199">
        <v>43952</v>
      </c>
      <c r="G27" s="199">
        <v>43983</v>
      </c>
      <c r="H27" s="199">
        <v>44013</v>
      </c>
      <c r="I27" s="199">
        <v>44044</v>
      </c>
      <c r="J27" s="199">
        <v>44075</v>
      </c>
      <c r="K27" s="199">
        <v>44105</v>
      </c>
      <c r="L27" s="199">
        <v>44136</v>
      </c>
      <c r="M27" s="199">
        <v>44166</v>
      </c>
    </row>
    <row r="28" spans="1:18" x14ac:dyDescent="0.3">
      <c r="A28" s="200" t="s">
        <v>304</v>
      </c>
      <c r="B28" s="206">
        <f>'I-TarifaVerificada'!B35</f>
        <v>5.0252575113445745</v>
      </c>
      <c r="C28" s="206">
        <f>'I-TarifaVerificada'!C35</f>
        <v>4.8262613350991366</v>
      </c>
      <c r="D28" s="206">
        <f>'I-TarifaVerificada'!D35</f>
        <v>5.1593507242932928</v>
      </c>
      <c r="E28" s="206">
        <f>'I-TarifaVerificada'!E35</f>
        <v>5.0412333860252909</v>
      </c>
      <c r="F28" s="206">
        <f>'I-TarifaVerificada'!F35</f>
        <v>5.0497467581554956</v>
      </c>
      <c r="G28" s="206">
        <f>'I-TarifaVerificada'!G35</f>
        <v>4.770735183242202</v>
      </c>
      <c r="H28" s="206">
        <f>'I-TarifaVerificada'!H35</f>
        <v>5.1366533663010356</v>
      </c>
      <c r="I28" s="206">
        <f>'I-TarifaVerificada'!I35</f>
        <v>5.1688077403111485</v>
      </c>
      <c r="J28" s="206">
        <f>'I-TarifaVerificada'!J35</f>
        <v>4.816653940784696</v>
      </c>
      <c r="K28" s="206">
        <f>'I-TarifaVerificada'!K35</f>
        <v>5.3828310601946621</v>
      </c>
      <c r="L28" s="206">
        <f>'I-TarifaVerificada'!L35</f>
        <v>4.8854214479977136</v>
      </c>
      <c r="M28" s="206">
        <f>'I-TarifaVerificada'!M35</f>
        <v>5.2323829458911053</v>
      </c>
    </row>
    <row r="29" spans="1:18" x14ac:dyDescent="0.3">
      <c r="A29" s="200" t="s">
        <v>305</v>
      </c>
      <c r="B29" s="215">
        <f>'A-DiferençaMédia'!$B$5</f>
        <v>5.1792231933557051</v>
      </c>
      <c r="C29" s="215">
        <f>'A-DiferençaMédia'!$B$5</f>
        <v>5.1792231933557051</v>
      </c>
      <c r="D29" s="215">
        <f>'A-DiferençaMédia'!$B$5</f>
        <v>5.1792231933557051</v>
      </c>
      <c r="E29" s="215">
        <f>'A-DiferençaMédia'!$B$5</f>
        <v>5.1792231933557051</v>
      </c>
      <c r="F29" s="215">
        <f>'A-DiferençaMédia'!$B$5</f>
        <v>5.1792231933557051</v>
      </c>
      <c r="G29" s="215">
        <f>'A-DiferençaMédia'!$B$5</f>
        <v>5.1792231933557051</v>
      </c>
      <c r="H29" s="215">
        <f>'A-DiferençaMédia'!$B$5</f>
        <v>5.1792231933557051</v>
      </c>
      <c r="I29" s="215">
        <f>'A-DiferençaMédia'!$B$5</f>
        <v>5.1792231933557051</v>
      </c>
      <c r="J29" s="215">
        <f>'A-DiferençaMédia'!$B$5</f>
        <v>5.1792231933557051</v>
      </c>
      <c r="K29" s="215">
        <f>'A-DiferençaMédia'!$B$5</f>
        <v>5.1792231933557051</v>
      </c>
      <c r="L29" s="215">
        <f>'A-DiferençaMédia'!$B$5</f>
        <v>5.1792231933557051</v>
      </c>
      <c r="M29" s="215">
        <f>'A-DiferençaMédia'!$B$5</f>
        <v>5.1792231933557051</v>
      </c>
      <c r="R29" s="208"/>
    </row>
    <row r="30" spans="1:18" x14ac:dyDescent="0.3">
      <c r="A30" s="200" t="s">
        <v>46</v>
      </c>
      <c r="B30" s="214">
        <f>B28-B29</f>
        <v>-0.15396568201113059</v>
      </c>
      <c r="C30" s="214">
        <f t="shared" ref="C30:L30" si="6">C28-C29</f>
        <v>-0.35296185825656856</v>
      </c>
      <c r="D30" s="214">
        <f t="shared" si="6"/>
        <v>-1.9872469062412357E-2</v>
      </c>
      <c r="E30" s="214">
        <f t="shared" si="6"/>
        <v>-0.13798980733041422</v>
      </c>
      <c r="F30" s="214">
        <f t="shared" si="6"/>
        <v>-0.12947643520020957</v>
      </c>
      <c r="G30" s="214">
        <f t="shared" si="6"/>
        <v>-0.40848801011350311</v>
      </c>
      <c r="H30" s="214">
        <f t="shared" si="6"/>
        <v>-4.2569827054669496E-2</v>
      </c>
      <c r="I30" s="214">
        <f t="shared" si="6"/>
        <v>-1.04154530445566E-2</v>
      </c>
      <c r="J30" s="214">
        <f t="shared" si="6"/>
        <v>-0.36256925257100914</v>
      </c>
      <c r="K30" s="214">
        <f t="shared" si="6"/>
        <v>0.20360786683895693</v>
      </c>
      <c r="L30" s="214">
        <f t="shared" si="6"/>
        <v>-0.29380174535799153</v>
      </c>
      <c r="M30" s="214">
        <f>M28-M29</f>
        <v>5.3159752535400173E-2</v>
      </c>
      <c r="R30" s="208"/>
    </row>
    <row r="31" spans="1:18" x14ac:dyDescent="0.3">
      <c r="A31" s="213" t="s">
        <v>306</v>
      </c>
      <c r="B31" s="216">
        <f>B30/B29</f>
        <v>-2.9727562660101091E-2</v>
      </c>
      <c r="C31" s="216">
        <f t="shared" ref="C31:L31" si="7">C30/C29</f>
        <v>-6.8149574768157209E-2</v>
      </c>
      <c r="D31" s="216">
        <f t="shared" si="7"/>
        <v>-3.8369593895675796E-3</v>
      </c>
      <c r="E31" s="216">
        <f t="shared" si="7"/>
        <v>-2.6642954392743272E-2</v>
      </c>
      <c r="F31" s="216">
        <f t="shared" si="7"/>
        <v>-2.4999199757660885E-2</v>
      </c>
      <c r="G31" s="216">
        <f t="shared" si="7"/>
        <v>-7.8870516844599795E-2</v>
      </c>
      <c r="H31" s="216">
        <f t="shared" si="7"/>
        <v>-8.2193459260997397E-3</v>
      </c>
      <c r="I31" s="216">
        <f t="shared" si="7"/>
        <v>-2.0110067969108421E-3</v>
      </c>
      <c r="J31" s="216">
        <f t="shared" si="7"/>
        <v>-7.0004562274153415E-2</v>
      </c>
      <c r="K31" s="216">
        <f t="shared" si="7"/>
        <v>3.931243339737904E-2</v>
      </c>
      <c r="L31" s="216">
        <f t="shared" si="7"/>
        <v>-5.6726990590963984E-2</v>
      </c>
      <c r="M31" s="216">
        <f>M30/M29</f>
        <v>1.0264039712286869E-2</v>
      </c>
      <c r="R31" s="209"/>
    </row>
  </sheetData>
  <mergeCells count="2">
    <mergeCell ref="F2:J2"/>
    <mergeCell ref="F5:Q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B668-3EA8-4E34-9383-7745BEC7600A}">
  <dimension ref="A1:S101"/>
  <sheetViews>
    <sheetView zoomScale="85" zoomScaleNormal="85" workbookViewId="0">
      <selection activeCell="C37" sqref="C37"/>
    </sheetView>
  </sheetViews>
  <sheetFormatPr defaultColWidth="0" defaultRowHeight="15" zeroHeight="1" x14ac:dyDescent="0.25"/>
  <cols>
    <col min="1" max="1" width="43.85546875" style="4" customWidth="1"/>
    <col min="2" max="2" width="24" style="4" customWidth="1"/>
    <col min="3" max="5" width="19.7109375" style="4" customWidth="1"/>
    <col min="6" max="6" width="9.140625" style="4" customWidth="1"/>
    <col min="7" max="7" width="46.85546875" style="4" customWidth="1"/>
    <col min="8" max="8" width="24" style="4" customWidth="1"/>
    <col min="9" max="11" width="19.7109375" style="4" customWidth="1"/>
    <col min="12" max="12" width="9.140625" style="4" customWidth="1"/>
    <col min="13" max="13" width="49.7109375" style="4" customWidth="1"/>
    <col min="14" max="14" width="24" style="4" customWidth="1"/>
    <col min="15" max="17" width="19.7109375" style="4" customWidth="1"/>
    <col min="18" max="19" width="9.140625" style="4" customWidth="1"/>
    <col min="20" max="16384" width="9.140625" style="4" hidden="1"/>
  </cols>
  <sheetData>
    <row r="1" spans="1:19" x14ac:dyDescent="0.25">
      <c r="A1" s="3" t="s">
        <v>68</v>
      </c>
      <c r="G1" s="3" t="s">
        <v>75</v>
      </c>
      <c r="M1" s="3" t="s">
        <v>82</v>
      </c>
    </row>
    <row r="2" spans="1:19" s="2" customFormat="1" x14ac:dyDescent="0.25">
      <c r="A2" s="69" t="s">
        <v>76</v>
      </c>
      <c r="B2" s="62">
        <v>2021</v>
      </c>
      <c r="C2" s="62">
        <v>2022</v>
      </c>
      <c r="D2" s="62">
        <v>2023</v>
      </c>
      <c r="E2" s="62">
        <v>2024</v>
      </c>
      <c r="F2" s="4"/>
      <c r="G2" s="69" t="s">
        <v>77</v>
      </c>
      <c r="H2" s="62">
        <v>2021</v>
      </c>
      <c r="I2" s="62">
        <v>2022</v>
      </c>
      <c r="J2" s="62">
        <v>2023</v>
      </c>
      <c r="K2" s="62">
        <v>2024</v>
      </c>
      <c r="L2" s="4"/>
      <c r="M2" s="69" t="s">
        <v>83</v>
      </c>
      <c r="N2" s="62">
        <v>2021</v>
      </c>
      <c r="O2" s="62">
        <v>2022</v>
      </c>
      <c r="P2" s="62">
        <v>2023</v>
      </c>
      <c r="Q2" s="62">
        <v>2024</v>
      </c>
      <c r="R2" s="4"/>
      <c r="S2" s="4"/>
    </row>
    <row r="3" spans="1:19" s="2" customFormat="1" x14ac:dyDescent="0.25">
      <c r="A3" s="59" t="s">
        <v>18</v>
      </c>
      <c r="B3" s="130">
        <f>B62</f>
        <v>4.4533785064871774</v>
      </c>
      <c r="C3" s="130">
        <f>B3</f>
        <v>4.4533785064871774</v>
      </c>
      <c r="D3" s="130">
        <f>B3</f>
        <v>4.4533785064871774</v>
      </c>
      <c r="E3" s="130">
        <f>B3</f>
        <v>4.4533785064871774</v>
      </c>
      <c r="F3" s="4"/>
      <c r="G3" s="57" t="s">
        <v>18</v>
      </c>
      <c r="H3" s="58">
        <f>H46</f>
        <v>4.515232636969837</v>
      </c>
      <c r="I3" s="58">
        <f>$H$3</f>
        <v>4.515232636969837</v>
      </c>
      <c r="J3" s="58">
        <f t="shared" ref="J3:K3" si="0">$H$3</f>
        <v>4.515232636969837</v>
      </c>
      <c r="K3" s="58">
        <f t="shared" si="0"/>
        <v>4.515232636969837</v>
      </c>
      <c r="L3" s="4"/>
      <c r="M3" s="57" t="s">
        <v>18</v>
      </c>
      <c r="N3" s="58">
        <f>N46</f>
        <v>4.3089692509928579</v>
      </c>
      <c r="O3" s="58">
        <f>$N$3</f>
        <v>4.3089692509928579</v>
      </c>
      <c r="P3" s="58">
        <f t="shared" ref="P3:Q3" si="1">$N$3</f>
        <v>4.3089692509928579</v>
      </c>
      <c r="Q3" s="58">
        <f t="shared" si="1"/>
        <v>4.3089692509928579</v>
      </c>
      <c r="R3" s="4"/>
      <c r="S3" s="4"/>
    </row>
    <row r="4" spans="1:19" s="2" customFormat="1" x14ac:dyDescent="0.25">
      <c r="A4" s="59" t="s">
        <v>48</v>
      </c>
      <c r="B4" s="60">
        <f>'I-Dados'!C5</f>
        <v>933405017</v>
      </c>
      <c r="C4" s="60">
        <f t="shared" ref="C4:E4" si="2">I4+O4</f>
        <v>976505620</v>
      </c>
      <c r="D4" s="60">
        <f t="shared" si="2"/>
        <v>993780787</v>
      </c>
      <c r="E4" s="60">
        <f t="shared" si="2"/>
        <v>1011523556</v>
      </c>
      <c r="F4" s="4"/>
      <c r="G4" s="59" t="s">
        <v>48</v>
      </c>
      <c r="H4" s="60">
        <f>'I-Dados'!C3</f>
        <v>527393716</v>
      </c>
      <c r="I4" s="60">
        <f>'I-Dados'!D3</f>
        <v>548051202</v>
      </c>
      <c r="J4" s="60">
        <f>'I-Dados'!E3</f>
        <v>553474720</v>
      </c>
      <c r="K4" s="60">
        <f>'I-Dados'!F3</f>
        <v>561193853</v>
      </c>
      <c r="L4" s="4"/>
      <c r="M4" s="59" t="s">
        <v>48</v>
      </c>
      <c r="N4" s="60">
        <f>'I-Dados'!C4</f>
        <v>406011301</v>
      </c>
      <c r="O4" s="60">
        <f>'I-Dados'!D4</f>
        <v>428454418</v>
      </c>
      <c r="P4" s="60">
        <f>'I-Dados'!E4</f>
        <v>440306067</v>
      </c>
      <c r="Q4" s="60">
        <f>'I-Dados'!F4</f>
        <v>450329703</v>
      </c>
      <c r="R4" s="4"/>
      <c r="S4" s="4"/>
    </row>
    <row r="5" spans="1:19" s="2" customFormat="1" x14ac:dyDescent="0.25">
      <c r="A5" s="64" t="s">
        <v>12</v>
      </c>
      <c r="B5" s="60">
        <f>(('I-Dados'!B59)*'I-Dados'!B151)*((((B4/'I-Dados'!B5)-1)/2)+1)</f>
        <v>69869235.884865224</v>
      </c>
      <c r="C5" s="60">
        <f>B5*(((C4/B4-1)/2)+1)</f>
        <v>71482365.310431033</v>
      </c>
      <c r="D5" s="60">
        <f>C5*(((D4/C4-1)/2)+1)</f>
        <v>72114655.47497341</v>
      </c>
      <c r="E5" s="60">
        <f>D5*(((E4/D4-1)/2)+1)</f>
        <v>72758415.995575532</v>
      </c>
      <c r="F5" s="4"/>
      <c r="G5" s="64" t="s">
        <v>12</v>
      </c>
      <c r="H5" s="60">
        <f>(('I-Dados'!B53+'I-Dados'!B55+'I-Dados'!B57)*'I-Dados'!B151)*((((H4/'I-Dados'!B3)-1)/2)+1)</f>
        <v>50895464.11067602</v>
      </c>
      <c r="I5" s="60">
        <f>H5*(((I4/H4-1)/2)+1)</f>
        <v>51892226.401762724</v>
      </c>
      <c r="J5" s="60">
        <f>I5*(((J4/I4-1)/2)+1)</f>
        <v>52148989.294465989</v>
      </c>
      <c r="K5" s="60">
        <f>J5*(((K4/J4-1)/2)+1)</f>
        <v>52512641.842300117</v>
      </c>
      <c r="L5" s="4"/>
      <c r="M5" s="64" t="s">
        <v>12</v>
      </c>
      <c r="N5" s="60">
        <f>(('I-Dados'!B54+'I-Dados'!B56+'I-Dados'!B58)*'I-Dados'!B151)*((((N4/'I-Dados'!B4)-1)/2)+1)</f>
        <v>18892460.814062402</v>
      </c>
      <c r="O5" s="60">
        <f>N5*(((O4/N4-1)/2)+1)</f>
        <v>19414620.797569755</v>
      </c>
      <c r="P5" s="60">
        <f>O5*(((P4/O4-1)/2)+1)</f>
        <v>19683138.592572276</v>
      </c>
      <c r="Q5" s="60">
        <f>P5*(((Q4/P4-1)/2)+1)</f>
        <v>19907183.446114458</v>
      </c>
      <c r="R5" s="4"/>
      <c r="S5" s="4"/>
    </row>
    <row r="6" spans="1:19" s="2" customFormat="1" x14ac:dyDescent="0.25">
      <c r="A6" s="70" t="s">
        <v>88</v>
      </c>
      <c r="B6" s="63">
        <f>B3*B4+B5</f>
        <v>4226675076.4399638</v>
      </c>
      <c r="C6" s="63">
        <f>C3*C4+C5</f>
        <v>4420231504.8823662</v>
      </c>
      <c r="D6" s="63">
        <f>D3*D4+D5</f>
        <v>4497796652.4606857</v>
      </c>
      <c r="E6" s="63">
        <f>E3*E4+E5</f>
        <v>4577455679.0914545</v>
      </c>
      <c r="F6" s="16"/>
      <c r="G6" s="70" t="s">
        <v>78</v>
      </c>
      <c r="H6" s="63">
        <f>H3*H4+H5</f>
        <v>2432200783.126677</v>
      </c>
      <c r="I6" s="63">
        <f>I3*I4+I5</f>
        <v>2526470900.4027119</v>
      </c>
      <c r="J6" s="63">
        <f>J3*J4+J5</f>
        <v>2551216108.7762084</v>
      </c>
      <c r="K6" s="63">
        <f>K3*K4+K5</f>
        <v>2586433442.5747528</v>
      </c>
      <c r="L6" s="4"/>
      <c r="M6" s="70" t="s">
        <v>84</v>
      </c>
      <c r="N6" s="63">
        <f>N3*N4+N5</f>
        <v>1768382672.3786681</v>
      </c>
      <c r="O6" s="63">
        <f>O3*O4+O5</f>
        <v>1865611533.4116106</v>
      </c>
      <c r="P6" s="63">
        <f>P3*P4+P5</f>
        <v>1916948442.3211734</v>
      </c>
      <c r="Q6" s="63">
        <f>Q3*Q4+Q5</f>
        <v>1960364026.4818606</v>
      </c>
      <c r="R6" s="4"/>
      <c r="S6" s="4"/>
    </row>
    <row r="7" spans="1:19" s="2" customFormat="1" x14ac:dyDescent="0.25">
      <c r="A7" s="55" t="s">
        <v>19</v>
      </c>
      <c r="B7" s="72">
        <f>SUM(B8:B10)</f>
        <v>1951042660.9196501</v>
      </c>
      <c r="C7" s="72">
        <f t="shared" ref="C7:E7" si="3">SUM(C8:C10)</f>
        <v>2041133364.990037</v>
      </c>
      <c r="D7" s="72">
        <f t="shared" si="3"/>
        <v>2077242650.0031376</v>
      </c>
      <c r="E7" s="72">
        <f t="shared" si="3"/>
        <v>2114329336.5018914</v>
      </c>
      <c r="F7" s="16"/>
      <c r="G7" s="55" t="s">
        <v>19</v>
      </c>
      <c r="H7" s="72">
        <f t="shared" ref="H7:K7" si="4">SUM(H8:H10)</f>
        <v>1227453403.6597707</v>
      </c>
      <c r="I7" s="72">
        <f t="shared" si="4"/>
        <v>1275531529.6072443</v>
      </c>
      <c r="J7" s="72">
        <f t="shared" si="4"/>
        <v>1288154197.3162961</v>
      </c>
      <c r="K7" s="72">
        <f t="shared" si="4"/>
        <v>1306119667.4891572</v>
      </c>
      <c r="L7" s="4"/>
      <c r="M7" s="55" t="s">
        <v>19</v>
      </c>
      <c r="N7" s="72">
        <f t="shared" ref="N7:P7" si="5">SUM(N8:N10)</f>
        <v>721797896.11504292</v>
      </c>
      <c r="O7" s="72">
        <f t="shared" si="5"/>
        <v>761696772.31125927</v>
      </c>
      <c r="P7" s="72">
        <f t="shared" si="5"/>
        <v>782766371.34119844</v>
      </c>
      <c r="Q7" s="72">
        <f>SUM(Q8:Q10)</f>
        <v>800586169.35766566</v>
      </c>
      <c r="R7" s="4"/>
      <c r="S7" s="4"/>
    </row>
    <row r="8" spans="1:19" s="2" customFormat="1" x14ac:dyDescent="0.25">
      <c r="A8" s="57" t="s">
        <v>49</v>
      </c>
      <c r="B8" s="61">
        <f>('I-Dados'!B23+'I-Dados'!B24)*'A-Tarifa-P0'!B4/'I-Dados'!B5</f>
        <v>934434806.78198552</v>
      </c>
      <c r="C8" s="61">
        <f>B8*C$4/B$4</f>
        <v>977582961.01618552</v>
      </c>
      <c r="D8" s="61">
        <f t="shared" ref="D8:E8" si="6">C8*D$4/C$4</f>
        <v>994877187.04215467</v>
      </c>
      <c r="E8" s="61">
        <f t="shared" si="6"/>
        <v>1012639530.9553891</v>
      </c>
      <c r="F8" s="16"/>
      <c r="G8" s="57" t="s">
        <v>49</v>
      </c>
      <c r="H8" s="61">
        <f>'I-Dados'!B23*('A-Tarifa-P0'!H4/'I-Dados'!B3)</f>
        <v>587878064.92250991</v>
      </c>
      <c r="I8" s="61">
        <f>H8*(I$4/H$4)</f>
        <v>610904662.56184125</v>
      </c>
      <c r="J8" s="61">
        <f t="shared" ref="J8:K8" si="7">I8*(J$4/I$4)</f>
        <v>616950178.78659737</v>
      </c>
      <c r="K8" s="61">
        <f t="shared" si="7"/>
        <v>625554583.49080408</v>
      </c>
      <c r="L8" s="4"/>
      <c r="M8" s="57" t="s">
        <v>49</v>
      </c>
      <c r="N8" s="61">
        <f>('I-Dados'!B24)*('A-Tarifa-P0'!N4/'I-Dados'!B4)</f>
        <v>345698785.11727768</v>
      </c>
      <c r="O8" s="61">
        <f>N8*O$4/N$4</f>
        <v>364808002.67362577</v>
      </c>
      <c r="P8" s="61">
        <f t="shared" ref="P8:Q8" si="8">O8*P$4/O$4</f>
        <v>374899102.72637129</v>
      </c>
      <c r="Q8" s="61">
        <f t="shared" si="8"/>
        <v>383433739.02620625</v>
      </c>
      <c r="R8" s="4"/>
      <c r="S8" s="4"/>
    </row>
    <row r="9" spans="1:19" s="2" customFormat="1" x14ac:dyDescent="0.25">
      <c r="A9" s="59" t="s">
        <v>50</v>
      </c>
      <c r="B9" s="60">
        <f>('I-Dados'!B25+'I-Dados'!B26)*'A-Tarifa-P0'!B4/'I-Dados'!B5</f>
        <v>212159231.11807752</v>
      </c>
      <c r="C9" s="61">
        <f t="shared" ref="C9:E10" si="9">B9*C$4/B$4</f>
        <v>221955825.97953999</v>
      </c>
      <c r="D9" s="61">
        <f t="shared" si="9"/>
        <v>225882402.41892546</v>
      </c>
      <c r="E9" s="61">
        <f t="shared" si="9"/>
        <v>229915262.92469418</v>
      </c>
      <c r="F9" s="16"/>
      <c r="G9" s="59" t="s">
        <v>50</v>
      </c>
      <c r="H9" s="60">
        <f>'I-Dados'!B25*('A-Tarifa-P0'!H4/'I-Dados'!B3)</f>
        <v>133475077.49060385</v>
      </c>
      <c r="I9" s="61">
        <f t="shared" ref="I9:K10" si="10">H9*(I$4/H$4)</f>
        <v>138703163.19007596</v>
      </c>
      <c r="J9" s="61">
        <f t="shared" si="10"/>
        <v>140075770.52945065</v>
      </c>
      <c r="K9" s="61">
        <f t="shared" si="10"/>
        <v>142029362.0192197</v>
      </c>
      <c r="L9" s="4"/>
      <c r="M9" s="59" t="s">
        <v>50</v>
      </c>
      <c r="N9" s="60">
        <f>('I-Dados'!B26)*('A-Tarifa-P0'!N4/'I-Dados'!B4)</f>
        <v>78489358.39784804</v>
      </c>
      <c r="O9" s="61">
        <f>N9*O$4/N$4</f>
        <v>82828020.52237308</v>
      </c>
      <c r="P9" s="61">
        <f t="shared" ref="P9:Q10" si="11">O9*P$4/O$4</f>
        <v>85119159.521891952</v>
      </c>
      <c r="Q9" s="61">
        <f t="shared" si="11"/>
        <v>87056910.408421025</v>
      </c>
      <c r="R9" s="4"/>
      <c r="S9" s="4"/>
    </row>
    <row r="10" spans="1:19" s="2" customFormat="1" x14ac:dyDescent="0.25">
      <c r="A10" s="57" t="s">
        <v>51</v>
      </c>
      <c r="B10" s="61">
        <f>('I-Dados'!B27+'I-Dados'!B28)*'A-Tarifa-P0'!B4/'I-Dados'!B5</f>
        <v>804448623.01958692</v>
      </c>
      <c r="C10" s="61">
        <f t="shared" si="9"/>
        <v>841594577.99431133</v>
      </c>
      <c r="D10" s="61">
        <f t="shared" si="9"/>
        <v>856483060.54205763</v>
      </c>
      <c r="E10" s="61">
        <f t="shared" si="9"/>
        <v>871774542.62180805</v>
      </c>
      <c r="F10" s="4"/>
      <c r="G10" s="57" t="s">
        <v>51</v>
      </c>
      <c r="H10" s="61">
        <f>'I-Dados'!B27*('A-Tarifa-P0'!H4/'I-Dados'!B3)</f>
        <v>506100261.24665707</v>
      </c>
      <c r="I10" s="61">
        <f t="shared" si="10"/>
        <v>525923703.85532695</v>
      </c>
      <c r="J10" s="61">
        <f t="shared" si="10"/>
        <v>531128248.00024801</v>
      </c>
      <c r="K10" s="61">
        <f t="shared" si="10"/>
        <v>538535721.97913337</v>
      </c>
      <c r="L10" s="4"/>
      <c r="M10" s="57" t="s">
        <v>51</v>
      </c>
      <c r="N10" s="61">
        <f>('I-Dados'!B28)*('A-Tarifa-P0'!N4/'I-Dados'!B4)</f>
        <v>297609752.59991717</v>
      </c>
      <c r="O10" s="61">
        <f>N10*O$4/N$4</f>
        <v>314060749.11526048</v>
      </c>
      <c r="P10" s="61">
        <f t="shared" si="11"/>
        <v>322748109.09293526</v>
      </c>
      <c r="Q10" s="61">
        <f t="shared" si="11"/>
        <v>330095519.92303836</v>
      </c>
      <c r="R10" s="4"/>
      <c r="S10" s="4"/>
    </row>
    <row r="11" spans="1:19" s="2" customFormat="1" x14ac:dyDescent="0.25">
      <c r="A11" s="56" t="s">
        <v>39</v>
      </c>
      <c r="B11" s="72">
        <f t="shared" ref="B11:D11" si="12">B12</f>
        <v>23126151201.718319</v>
      </c>
      <c r="C11" s="72">
        <f>C12</f>
        <v>24387590908.234085</v>
      </c>
      <c r="D11" s="72">
        <f t="shared" si="12"/>
        <v>25685156940.948513</v>
      </c>
      <c r="E11" s="72">
        <f>E12</f>
        <v>26988085845.087456</v>
      </c>
      <c r="F11" s="4"/>
      <c r="G11" s="56" t="s">
        <v>39</v>
      </c>
      <c r="H11" s="85">
        <f t="shared" ref="H11:J11" si="13">H12</f>
        <v>13056271473.549568</v>
      </c>
      <c r="I11" s="85">
        <f t="shared" si="13"/>
        <v>13614706917.948261</v>
      </c>
      <c r="J11" s="85">
        <f t="shared" si="13"/>
        <v>14108549009.922581</v>
      </c>
      <c r="K11" s="85">
        <f>K12</f>
        <v>14606500961.719793</v>
      </c>
      <c r="L11" s="4"/>
      <c r="M11" s="56" t="s">
        <v>39</v>
      </c>
      <c r="N11" s="85">
        <f>N12</f>
        <v>10033108393.165859</v>
      </c>
      <c r="O11" s="85">
        <f t="shared" ref="O11:Q11" si="14">O12</f>
        <v>10656566207.918005</v>
      </c>
      <c r="P11" s="85">
        <f t="shared" si="14"/>
        <v>11395317398.156658</v>
      </c>
      <c r="Q11" s="85">
        <f t="shared" si="14"/>
        <v>12166565432.082851</v>
      </c>
      <c r="R11" s="4"/>
      <c r="S11" s="4"/>
    </row>
    <row r="12" spans="1:19" s="2" customFormat="1" x14ac:dyDescent="0.25">
      <c r="A12" s="65" t="s">
        <v>52</v>
      </c>
      <c r="B12" s="84">
        <f>'I-Dados'!B115+(0.5*B22)</f>
        <v>23126151201.718319</v>
      </c>
      <c r="C12" s="84">
        <f>B12+(0.5*B22)+(0.5*C22)</f>
        <v>24387590908.234085</v>
      </c>
      <c r="D12" s="84">
        <f>C12+(0.5*C22)+(0.5*D22)</f>
        <v>25685156940.948513</v>
      </c>
      <c r="E12" s="84">
        <f>D12+(0.5*D22)+(0.5*E22)</f>
        <v>26988085845.087456</v>
      </c>
      <c r="F12" s="4"/>
      <c r="G12" s="65" t="s">
        <v>52</v>
      </c>
      <c r="H12" s="84">
        <f>'I-Dados'!B104+('I-Dados'!B114*('I-Dados'!B104/('I-Dados'!B104+'I-Dados'!B109)))+(0.5*H22)</f>
        <v>13056271473.549568</v>
      </c>
      <c r="I12" s="84">
        <f>H12+(0.5*H22)+(0.5*I22)</f>
        <v>13614706917.948261</v>
      </c>
      <c r="J12" s="84">
        <f t="shared" ref="J12:K12" si="15">I12+(0.5*I22)+(0.5*J22)</f>
        <v>14108549009.922581</v>
      </c>
      <c r="K12" s="84">
        <f t="shared" si="15"/>
        <v>14606500961.719793</v>
      </c>
      <c r="L12" s="4"/>
      <c r="M12" s="65" t="s">
        <v>52</v>
      </c>
      <c r="N12" s="84">
        <f>'I-Dados'!B109+'I-Dados'!B114*('I-Dados'!B109/('I-Dados'!B109+'I-Dados'!B104))+(0.5*N22)</f>
        <v>10033108393.165859</v>
      </c>
      <c r="O12" s="84">
        <f>N12+(0.5*N22)+(0.5*O22)</f>
        <v>10656566207.918005</v>
      </c>
      <c r="P12" s="84">
        <f t="shared" ref="P12:Q12" si="16">O12+(0.5*O22)+(0.5*P22)</f>
        <v>11395317398.156658</v>
      </c>
      <c r="Q12" s="84">
        <f t="shared" si="16"/>
        <v>12166565432.082851</v>
      </c>
      <c r="R12" s="4"/>
      <c r="S12" s="4"/>
    </row>
    <row r="13" spans="1:19" s="2" customFormat="1" x14ac:dyDescent="0.25">
      <c r="A13" s="67" t="s">
        <v>182</v>
      </c>
      <c r="B13" s="80">
        <f>('I-Dados'!B100+'I-Dados'!B105+'I-Dados'!B110)*'A-Tarifa-P0'!B12/'I-Dados'!B115</f>
        <v>21647631446.138123</v>
      </c>
      <c r="C13" s="80">
        <f>B13*C12/B12</f>
        <v>22828423771.67429</v>
      </c>
      <c r="D13" s="80">
        <f t="shared" ref="D13:E13" si="17">C13*D12/C12</f>
        <v>24043032765.977779</v>
      </c>
      <c r="E13" s="80">
        <f t="shared" si="17"/>
        <v>25262661768.283394</v>
      </c>
      <c r="F13" s="4"/>
      <c r="G13" s="67" t="s">
        <v>182</v>
      </c>
      <c r="H13" s="80">
        <f>('I-Dados'!B100+'I-Dados'!B110*'I-Dados'!B100/('I-Dados'!B100+'I-Dados'!B105))*'A-Tarifa-P0'!H12/('I-Dados'!B104+'I-Dados'!B114*'I-Dados'!B104/('I-Dados'!B104+'I-Dados'!B109))</f>
        <v>11973266434.436386</v>
      </c>
      <c r="I13" s="81">
        <f>H13*I12/H12</f>
        <v>12485380201.047632</v>
      </c>
      <c r="J13" s="81">
        <f t="shared" ref="J13:K13" si="18">I13*J12/I12</f>
        <v>12938258571.088175</v>
      </c>
      <c r="K13" s="81">
        <f t="shared" si="18"/>
        <v>13394905892.070599</v>
      </c>
      <c r="L13" s="4"/>
      <c r="M13" s="67" t="s">
        <v>182</v>
      </c>
      <c r="N13" s="60">
        <f>('I-Dados'!B105+'I-Dados'!B110*('I-Dados'!B105/('I-Dados'!B105+'I-Dados'!B100)))*'A-Tarifa-P0'!N12/('I-Dados'!B109+'I-Dados'!B114*('I-Dados'!B109/('I-Dados'!B104+'I-Dados'!B109)))</f>
        <v>9641301749.1832218</v>
      </c>
      <c r="O13" s="60">
        <f>N13*O12/N12</f>
        <v>10240412681.145864</v>
      </c>
      <c r="P13" s="60">
        <f t="shared" ref="P13:Q13" si="19">O13*P12/O12</f>
        <v>10950314624.147964</v>
      </c>
      <c r="Q13" s="60">
        <f t="shared" si="19"/>
        <v>11691444364.519524</v>
      </c>
      <c r="R13" s="4"/>
      <c r="S13" s="4"/>
    </row>
    <row r="14" spans="1:19" s="2" customFormat="1" x14ac:dyDescent="0.25">
      <c r="A14" s="67" t="s">
        <v>53</v>
      </c>
      <c r="B14" s="80">
        <f>('I-Dados'!B102+'I-Dados'!B107+'I-Dados'!B112)*'A-Tarifa-P0'!B12/'I-Dados'!B115</f>
        <v>1458272474.4963448</v>
      </c>
      <c r="C14" s="80">
        <f>B14*C12/B12</f>
        <v>1537815446.7014217</v>
      </c>
      <c r="D14" s="80">
        <f t="shared" ref="D14:E14" si="20">C14*D12/C12</f>
        <v>1619636447.2148266</v>
      </c>
      <c r="E14" s="80">
        <f t="shared" si="20"/>
        <v>1701795615.8788424</v>
      </c>
      <c r="F14" s="4"/>
      <c r="G14" s="67" t="s">
        <v>53</v>
      </c>
      <c r="H14" s="80">
        <f>('I-Dados'!B102+'I-Dados'!B112*('I-Dados'!B102/('I-Dados'!B102+'I-Dados'!B107)))*'A-Tarifa-P0'!H12/('I-Dados'!B104+'I-Dados'!B114*'I-Dados'!B104/('I-Dados'!B104+'I-Dados'!B109))</f>
        <v>1077229666.1408372</v>
      </c>
      <c r="I14" s="81">
        <f>H14*I12/H12</f>
        <v>1123304322.9484494</v>
      </c>
      <c r="J14" s="81">
        <f t="shared" ref="J14:K14" si="21">I14*J12/I12</f>
        <v>1164049596.4318874</v>
      </c>
      <c r="K14" s="81">
        <f t="shared" si="21"/>
        <v>1205133960.821475</v>
      </c>
      <c r="L14" s="4"/>
      <c r="M14" s="67" t="s">
        <v>53</v>
      </c>
      <c r="N14" s="60">
        <f>('I-Dados'!B107+'I-Dados'!B112*'I-Dados'!B107/('I-Dados'!B107+'I-Dados'!B102))*'A-Tarifa-P0'!N12/('I-Dados'!B109+'I-Dados'!B114*'I-Dados'!B109/('I-Dados'!B109+'I-Dados'!B104))</f>
        <v>377336014.60802573</v>
      </c>
      <c r="O14" s="60">
        <f>N14*O12/N12</f>
        <v>400783691.82589054</v>
      </c>
      <c r="P14" s="60">
        <f t="shared" ref="P14:Q14" si="22">O14*P12/O12</f>
        <v>428567447.26717204</v>
      </c>
      <c r="Q14" s="60">
        <f t="shared" si="22"/>
        <v>457573379.22682434</v>
      </c>
      <c r="R14" s="4"/>
      <c r="S14" s="4"/>
    </row>
    <row r="15" spans="1:19" s="2" customFormat="1" x14ac:dyDescent="0.25">
      <c r="A15" s="67" t="s">
        <v>54</v>
      </c>
      <c r="B15" s="101">
        <f>('I-Dados'!B103+'I-Dados'!B108+'I-Dados'!B113)*'A-Tarifa-P0'!B12/'I-Dados'!B115</f>
        <v>20247281.083848413</v>
      </c>
      <c r="C15" s="80">
        <f>B15*C12/B12</f>
        <v>21351689.858372651</v>
      </c>
      <c r="D15" s="80">
        <f t="shared" ref="D15:E15" si="23">C15*D12/C12</f>
        <v>22487727.755905338</v>
      </c>
      <c r="E15" s="80">
        <f t="shared" si="23"/>
        <v>23628460.925219376</v>
      </c>
      <c r="F15" s="4"/>
      <c r="G15" s="67" t="s">
        <v>54</v>
      </c>
      <c r="H15" s="80">
        <f>('I-Dados'!B103+'I-Dados'!B113*'I-Dados'!B103/('I-Dados'!B103+'I-Dados'!B108))*'A-Tarifa-P0'!H12/('I-Dados'!B104+'I-Dados'!B114*'I-Dados'!B104/('I-Dados'!B104+'I-Dados'!B109))</f>
        <v>20160765.13408694</v>
      </c>
      <c r="I15" s="81">
        <f>H15*I12/H12</f>
        <v>21023069.955174636</v>
      </c>
      <c r="J15" s="81">
        <f t="shared" ref="J15:K15" si="24">I15*J12/I12</f>
        <v>21785633.329396024</v>
      </c>
      <c r="K15" s="81">
        <f t="shared" si="24"/>
        <v>22554542.919594251</v>
      </c>
      <c r="L15" s="4"/>
      <c r="M15" s="67" t="s">
        <v>54</v>
      </c>
      <c r="N15" s="60">
        <f>('I-Dados'!B108+'I-Dados'!B113*'I-Dados'!B108/('I-Dados'!B108+'I-Dados'!B103))*'A-Tarifa-P0'!N12/('I-Dados'!B109+'I-Dados'!B114*'I-Dados'!B109/('I-Dados'!B109+'I-Dados'!B104))</f>
        <v>6602.3652339373812</v>
      </c>
      <c r="O15" s="60">
        <f>N15*O12/N12</f>
        <v>7012.6365117549312</v>
      </c>
      <c r="P15" s="60">
        <f t="shared" ref="P15:Q15" si="25">O15*P12/O12</f>
        <v>7498.7774945717729</v>
      </c>
      <c r="Q15" s="60">
        <f t="shared" si="25"/>
        <v>8006.3032788447063</v>
      </c>
      <c r="R15" s="4"/>
      <c r="S15" s="4"/>
    </row>
    <row r="16" spans="1:19" s="2" customFormat="1" x14ac:dyDescent="0.25">
      <c r="A16" s="67" t="s">
        <v>69</v>
      </c>
      <c r="B16" s="80">
        <f>'I-Dados'!B101+'I-Dados'!B106+'I-Dados'!B111</f>
        <v>0</v>
      </c>
      <c r="C16" s="80">
        <f>$B$16</f>
        <v>0</v>
      </c>
      <c r="D16" s="80">
        <f t="shared" ref="D16:E16" si="26">$B$16</f>
        <v>0</v>
      </c>
      <c r="E16" s="80">
        <f t="shared" si="26"/>
        <v>0</v>
      </c>
      <c r="F16" s="4"/>
      <c r="G16" s="67" t="s">
        <v>69</v>
      </c>
      <c r="H16" s="80">
        <f>IFERROR('I-Dados'!B101+'I-Dados'!B111*'I-Dados'!B101/('I-Dados'!B101+'I-Dados'!B106),0)</f>
        <v>0</v>
      </c>
      <c r="I16" s="81">
        <f>$H$16</f>
        <v>0</v>
      </c>
      <c r="J16" s="81">
        <f t="shared" ref="J16:K16" si="27">$H$16</f>
        <v>0</v>
      </c>
      <c r="K16" s="81">
        <f t="shared" si="27"/>
        <v>0</v>
      </c>
      <c r="L16" s="4"/>
      <c r="M16" s="67" t="s">
        <v>69</v>
      </c>
      <c r="N16" s="81">
        <f>IFERROR('I-Dados'!B106+'I-Dados'!B111*'I-Dados'!B106/('I-Dados'!B106+'I-Dados'!B101),0)</f>
        <v>0</v>
      </c>
      <c r="O16" s="81">
        <f>$N$16</f>
        <v>0</v>
      </c>
      <c r="P16" s="81">
        <f t="shared" ref="P16:Q16" si="28">$N$16</f>
        <v>0</v>
      </c>
      <c r="Q16" s="81">
        <f t="shared" si="28"/>
        <v>0</v>
      </c>
      <c r="R16" s="4"/>
      <c r="S16" s="4"/>
    </row>
    <row r="17" spans="1:19" s="2" customFormat="1" x14ac:dyDescent="0.25">
      <c r="A17" s="66" t="s">
        <v>184</v>
      </c>
      <c r="B17" s="83">
        <f>B16*B28</f>
        <v>0</v>
      </c>
      <c r="C17" s="76">
        <f t="shared" ref="C17:E17" si="29">C16*C28</f>
        <v>0</v>
      </c>
      <c r="D17" s="76">
        <f t="shared" si="29"/>
        <v>0</v>
      </c>
      <c r="E17" s="76">
        <f t="shared" si="29"/>
        <v>0</v>
      </c>
      <c r="F17" s="4"/>
      <c r="G17" s="66" t="s">
        <v>184</v>
      </c>
      <c r="H17" s="76">
        <f>H16*H28</f>
        <v>0</v>
      </c>
      <c r="I17" s="76">
        <f t="shared" ref="I17:K17" si="30">I16*I28</f>
        <v>0</v>
      </c>
      <c r="J17" s="76">
        <f t="shared" si="30"/>
        <v>0</v>
      </c>
      <c r="K17" s="76">
        <f t="shared" si="30"/>
        <v>0</v>
      </c>
      <c r="L17" s="4"/>
      <c r="M17" s="66" t="s">
        <v>184</v>
      </c>
      <c r="N17" s="83">
        <f>N16*N28</f>
        <v>0</v>
      </c>
      <c r="O17" s="76">
        <f t="shared" ref="O17:Q17" si="31">O16*O28</f>
        <v>0</v>
      </c>
      <c r="P17" s="76">
        <f t="shared" si="31"/>
        <v>0</v>
      </c>
      <c r="Q17" s="76">
        <f t="shared" si="31"/>
        <v>0</v>
      </c>
      <c r="R17" s="4"/>
      <c r="S17" s="4"/>
    </row>
    <row r="18" spans="1:19" s="2" customFormat="1" x14ac:dyDescent="0.25">
      <c r="A18" s="66" t="s">
        <v>183</v>
      </c>
      <c r="B18" s="83">
        <f>('I-Dados'!B116+'I-Dados'!B117)*(1+'I-Dados'!B157)*'A-Tarifa-P0'!B12/'I-Dados'!B115</f>
        <v>0</v>
      </c>
      <c r="C18" s="76">
        <f>B18*C12/B12</f>
        <v>0</v>
      </c>
      <c r="D18" s="76">
        <f t="shared" ref="D18:E18" si="32">C18*D12/C12</f>
        <v>0</v>
      </c>
      <c r="E18" s="76">
        <f t="shared" si="32"/>
        <v>0</v>
      </c>
      <c r="F18" s="4"/>
      <c r="G18" s="66" t="s">
        <v>183</v>
      </c>
      <c r="H18" s="76">
        <f>'I-Dados'!B116*(1+'I-Dados'!B157)*'A-Tarifa-P0'!H12/'I-Dados'!B104</f>
        <v>0</v>
      </c>
      <c r="I18" s="76">
        <f>H18*I12/H12</f>
        <v>0</v>
      </c>
      <c r="J18" s="76">
        <f t="shared" ref="J18:K18" si="33">I18*J12/I12</f>
        <v>0</v>
      </c>
      <c r="K18" s="76">
        <f t="shared" si="33"/>
        <v>0</v>
      </c>
      <c r="L18" s="4"/>
      <c r="M18" s="66" t="s">
        <v>183</v>
      </c>
      <c r="N18" s="83">
        <f>'I-Dados'!B117*(1+'I-Dados'!B157)*'A-Tarifa-P0'!N12/'I-Dados'!B109</f>
        <v>0</v>
      </c>
      <c r="O18" s="76">
        <f>N18*O12/N12</f>
        <v>0</v>
      </c>
      <c r="P18" s="76">
        <f t="shared" ref="P18:Q18" si="34">O18*P12/O12</f>
        <v>0</v>
      </c>
      <c r="Q18" s="76">
        <f t="shared" si="34"/>
        <v>0</v>
      </c>
      <c r="R18" s="4"/>
      <c r="S18" s="4"/>
    </row>
    <row r="19" spans="1:19" s="2" customFormat="1" x14ac:dyDescent="0.25">
      <c r="A19" s="66" t="s">
        <v>55</v>
      </c>
      <c r="B19" s="83">
        <f>'I-Dados'!B125*(1+'I-Dados'!B157)*'A-Tarifa-P0'!B22/'I-Dados'!B70</f>
        <v>0</v>
      </c>
      <c r="C19" s="76">
        <v>0</v>
      </c>
      <c r="D19" s="76">
        <v>0</v>
      </c>
      <c r="E19" s="76">
        <v>0</v>
      </c>
      <c r="F19" s="4"/>
      <c r="G19" s="66" t="s">
        <v>55</v>
      </c>
      <c r="H19" s="76">
        <f>'I-Dados'!B123*(1+'I-Dados'!B157)*('A-Tarifa-P0'!H22/('I-Dados'!B65+'I-Dados'!B67))</f>
        <v>0</v>
      </c>
      <c r="I19" s="76">
        <v>0</v>
      </c>
      <c r="J19" s="76">
        <v>0</v>
      </c>
      <c r="K19" s="76">
        <v>0</v>
      </c>
      <c r="L19" s="4"/>
      <c r="M19" s="66" t="s">
        <v>55</v>
      </c>
      <c r="N19" s="83">
        <f>'I-Dados'!B124*(1+'I-Dados'!B157)*('A-Tarifa-P0'!N22/('I-Dados'!B66+'I-Dados'!B68))</f>
        <v>0</v>
      </c>
      <c r="O19" s="76">
        <v>0</v>
      </c>
      <c r="P19" s="76">
        <v>0</v>
      </c>
      <c r="Q19" s="76">
        <v>0</v>
      </c>
      <c r="R19" s="4"/>
      <c r="S19" s="4"/>
    </row>
    <row r="20" spans="1:19" s="2" customFormat="1" x14ac:dyDescent="0.25">
      <c r="A20" s="54" t="s">
        <v>56</v>
      </c>
      <c r="B20" s="78">
        <f>'I-Dados'!B128*(1+'I-Dados'!B157)*'A-Tarifa-P0'!B22/'I-Dados'!B70</f>
        <v>113293645.75498801</v>
      </c>
      <c r="C20" s="77">
        <f>B20*C22/B22</f>
        <v>119951340.54163213</v>
      </c>
      <c r="D20" s="77">
        <f t="shared" ref="D20:E20" si="35">C20*D22/C22</f>
        <v>119973540.49401489</v>
      </c>
      <c r="E20" s="77">
        <f t="shared" si="35"/>
        <v>120942955.80906107</v>
      </c>
      <c r="F20" s="4"/>
      <c r="G20" s="54" t="s">
        <v>56</v>
      </c>
      <c r="H20" s="76">
        <f>'I-Dados'!B126*(1+'I-Dados'!B157)*'A-Tarifa-P0'!H22/('I-Dados'!B65+'I-Dados'!B67)</f>
        <v>81844387.012405604</v>
      </c>
      <c r="I20" s="76">
        <f>H20*I22/H22</f>
        <v>72808172.362294868</v>
      </c>
      <c r="J20" s="76">
        <f t="shared" ref="J20:K20" si="36">I20*J22/I22</f>
        <v>63955967.910037093</v>
      </c>
      <c r="K20" s="76">
        <f t="shared" si="36"/>
        <v>73946352.874755293</v>
      </c>
      <c r="L20" s="4"/>
      <c r="M20" s="54" t="s">
        <v>56</v>
      </c>
      <c r="N20" s="78">
        <f>'I-Dados'!B127*(1+'I-Dados'!B157)*('A-Tarifa-P0'!N22/('I-Dados'!B66+'I-Dados'!B68))</f>
        <v>14148773.028607378</v>
      </c>
      <c r="O20" s="77">
        <f>N20*O22/N22</f>
        <v>17308956.622876845</v>
      </c>
      <c r="P20" s="77">
        <f t="shared" ref="P20:Q20" si="37">O20*P22/O22</f>
        <v>19966115.83968981</v>
      </c>
      <c r="Q20" s="77">
        <f t="shared" si="37"/>
        <v>18948645.626784153</v>
      </c>
      <c r="R20" s="4"/>
      <c r="S20" s="4"/>
    </row>
    <row r="21" spans="1:19" s="2" customFormat="1" x14ac:dyDescent="0.25">
      <c r="A21" s="54" t="s">
        <v>57</v>
      </c>
      <c r="B21" s="78">
        <f>('I-Dados'!B142+'I-Dados'!B143)*'A-Tarifa-P0'!B4/'I-Dados'!B5</f>
        <v>340111310.35771328</v>
      </c>
      <c r="C21" s="77">
        <f>B21*C4/B4</f>
        <v>355816178.33737361</v>
      </c>
      <c r="D21" s="77">
        <f>C21*D4/C4</f>
        <v>362110851.68710804</v>
      </c>
      <c r="E21" s="77">
        <f>D21*E4/D4</f>
        <v>368575908.44602644</v>
      </c>
      <c r="F21" s="4"/>
      <c r="G21" s="54" t="s">
        <v>57</v>
      </c>
      <c r="H21" s="76">
        <f>'I-Dados'!B142*'A-Tarifa-P0'!H4/'I-Dados'!B3</f>
        <v>212047044.70847905</v>
      </c>
      <c r="I21" s="76">
        <f>H21*I4/H4</f>
        <v>220352716.02104124</v>
      </c>
      <c r="J21" s="76">
        <f>I21*J4/I4</f>
        <v>222533327.82761657</v>
      </c>
      <c r="K21" s="76">
        <f>J21*K4/J4</f>
        <v>225636928.21325657</v>
      </c>
      <c r="L21" s="4"/>
      <c r="M21" s="54" t="s">
        <v>57</v>
      </c>
      <c r="N21" s="79">
        <f>'I-Dados'!B143*'A-Tarifa-P0'!N4/'I-Dados'!B4</f>
        <v>127779577.52797033</v>
      </c>
      <c r="O21" s="79">
        <f t="shared" ref="O21" si="38">N21*O$4/N$4</f>
        <v>134842858.77557978</v>
      </c>
      <c r="P21" s="79">
        <f t="shared" ref="P21" si="39">O21*P$4/O$4</f>
        <v>138572801.01733476</v>
      </c>
      <c r="Q21" s="79">
        <f t="shared" ref="Q21" si="40">P21*Q$4/P$4</f>
        <v>141727432.35449094</v>
      </c>
      <c r="R21" s="4"/>
      <c r="S21" s="4"/>
    </row>
    <row r="22" spans="1:19" s="2" customFormat="1" x14ac:dyDescent="0.25">
      <c r="A22" s="65" t="s">
        <v>58</v>
      </c>
      <c r="B22" s="79">
        <f>'I-Dados'!C70</f>
        <v>1225433442.4966288</v>
      </c>
      <c r="C22" s="79">
        <f>'I-Dados'!D70</f>
        <v>1297445970.5349011</v>
      </c>
      <c r="D22" s="79">
        <f>'I-Dados'!E70</f>
        <v>1297686094.8939538</v>
      </c>
      <c r="E22" s="79">
        <f>'I-Dados'!F70</f>
        <v>1308171713.3839359</v>
      </c>
      <c r="F22" s="4"/>
      <c r="G22" s="65" t="s">
        <v>58</v>
      </c>
      <c r="H22" s="76">
        <f>'I-Dados'!C65+'I-Dados'!C67</f>
        <v>591064342.1306107</v>
      </c>
      <c r="I22" s="76">
        <f>'I-Dados'!D65+'I-Dados'!D67</f>
        <v>525806546.66677362</v>
      </c>
      <c r="J22" s="76">
        <f>'I-Dados'!E65+'I-Dados'!E67</f>
        <v>461877637.28186584</v>
      </c>
      <c r="K22" s="76">
        <f>'I-Dados'!F65+'I-Dados'!F67</f>
        <v>534026266.31256109</v>
      </c>
      <c r="L22" s="4"/>
      <c r="M22" s="65" t="s">
        <v>58</v>
      </c>
      <c r="N22" s="79">
        <f>'I-Dados'!C66+'I-Dados'!C68</f>
        <v>560826430.36023891</v>
      </c>
      <c r="O22" s="79">
        <f>'I-Dados'!D66+'I-Dados'!D68</f>
        <v>686089199.14405477</v>
      </c>
      <c r="P22" s="79">
        <f>'I-Dados'!E66+'I-Dados'!E68</f>
        <v>791413181.333251</v>
      </c>
      <c r="Q22" s="79">
        <f>'I-Dados'!F66+'I-Dados'!F68</f>
        <v>751082886.51913476</v>
      </c>
      <c r="R22" s="4"/>
      <c r="S22" s="4"/>
    </row>
    <row r="23" spans="1:19" s="2" customFormat="1" x14ac:dyDescent="0.25">
      <c r="A23" s="67" t="s">
        <v>59</v>
      </c>
      <c r="B23" s="80">
        <f>'I-Dados'!B119+'I-Dados'!B120+'I-Dados'!B121</f>
        <v>9338204068.8700008</v>
      </c>
      <c r="C23" s="81">
        <f>B23+B24-B17</f>
        <v>9939484000.1146774</v>
      </c>
      <c r="D23" s="81">
        <f t="shared" ref="D23:E23" si="41">C23+C24-C17</f>
        <v>10573561363.728764</v>
      </c>
      <c r="E23" s="81">
        <f t="shared" si="41"/>
        <v>11241375444.193424</v>
      </c>
      <c r="F23" s="4"/>
      <c r="G23" s="67" t="s">
        <v>59</v>
      </c>
      <c r="H23" s="80">
        <f>'I-Dados'!B119+'I-Dados'!B121*'I-Dados'!B119/('I-Dados'!B119+'I-Dados'!B120)</f>
        <v>5905377018.6290817</v>
      </c>
      <c r="I23" s="81">
        <f>H23+H24-H17</f>
        <v>6267035738.4464045</v>
      </c>
      <c r="J23" s="81">
        <f t="shared" ref="J23:K23" si="42">I23+I24-I17</f>
        <v>6644163120.0735712</v>
      </c>
      <c r="K23" s="81">
        <f t="shared" si="42"/>
        <v>7034969927.648427</v>
      </c>
      <c r="L23" s="4"/>
      <c r="M23" s="67" t="s">
        <v>59</v>
      </c>
      <c r="N23" s="81">
        <f>'I-Dados'!B120+'I-Dados'!B121*'I-Dados'!B120/('I-Dados'!B120+'I-Dados'!B119)</f>
        <v>3432827050.2409186</v>
      </c>
      <c r="O23" s="81">
        <f>N23+N24-N17</f>
        <v>3670611719.1589494</v>
      </c>
      <c r="P23" s="81">
        <f t="shared" ref="P23:Q23" si="43">O23+O24-O17</f>
        <v>3923172338.2866058</v>
      </c>
      <c r="Q23" s="81">
        <f t="shared" si="43"/>
        <v>4193241360.6229186</v>
      </c>
      <c r="R23" s="4"/>
      <c r="S23" s="4"/>
    </row>
    <row r="24" spans="1:19" s="2" customFormat="1" x14ac:dyDescent="0.25">
      <c r="A24" s="67" t="s">
        <v>60</v>
      </c>
      <c r="B24" s="80">
        <f>B12*B28</f>
        <v>601279931.24467635</v>
      </c>
      <c r="C24" s="80">
        <f t="shared" ref="C24:E24" si="44">C12*C28</f>
        <v>634077363.61408627</v>
      </c>
      <c r="D24" s="80">
        <f t="shared" si="44"/>
        <v>667814080.46466136</v>
      </c>
      <c r="E24" s="80">
        <f t="shared" si="44"/>
        <v>701690231.97227395</v>
      </c>
      <c r="F24" s="4"/>
      <c r="G24" s="67" t="s">
        <v>60</v>
      </c>
      <c r="H24" s="80">
        <f>H12*H28</f>
        <v>361658719.81732303</v>
      </c>
      <c r="I24" s="80">
        <f t="shared" ref="I24:K24" si="45">I12*I28</f>
        <v>377127381.62716681</v>
      </c>
      <c r="J24" s="80">
        <f t="shared" si="45"/>
        <v>390806807.57485545</v>
      </c>
      <c r="K24" s="80">
        <f t="shared" si="45"/>
        <v>404600076.63963825</v>
      </c>
      <c r="L24" s="4"/>
      <c r="M24" s="67" t="s">
        <v>60</v>
      </c>
      <c r="N24" s="80">
        <f>N12*N28</f>
        <v>237784668.91803086</v>
      </c>
      <c r="O24" s="80">
        <f t="shared" ref="O24:Q24" si="46">O12*O28</f>
        <v>252560619.1276567</v>
      </c>
      <c r="P24" s="80">
        <f t="shared" si="46"/>
        <v>270069022.33631277</v>
      </c>
      <c r="Q24" s="80">
        <f t="shared" si="46"/>
        <v>288347600.74036354</v>
      </c>
      <c r="R24" s="4"/>
      <c r="S24" s="4"/>
    </row>
    <row r="25" spans="1:19" s="2" customFormat="1" x14ac:dyDescent="0.25">
      <c r="A25" s="56" t="s">
        <v>40</v>
      </c>
      <c r="B25" s="85">
        <f>B11-B14-B15-B18</f>
        <v>21647631446.138126</v>
      </c>
      <c r="C25" s="85">
        <f>C11-C14-C15-C18</f>
        <v>22828423771.67429</v>
      </c>
      <c r="D25" s="85">
        <f t="shared" ref="D25:E25" si="47">D11-D14-D15-D18</f>
        <v>24043032765.977783</v>
      </c>
      <c r="E25" s="85">
        <f t="shared" si="47"/>
        <v>25262661768.283394</v>
      </c>
      <c r="F25" s="4"/>
      <c r="G25" s="56" t="s">
        <v>40</v>
      </c>
      <c r="H25" s="85">
        <f>H11-H14-H15-H18</f>
        <v>11958881042.274645</v>
      </c>
      <c r="I25" s="85">
        <f t="shared" ref="I25:K25" si="48">I11-I14-I15-I18</f>
        <v>12470379525.044636</v>
      </c>
      <c r="J25" s="85">
        <f t="shared" si="48"/>
        <v>12922713780.161299</v>
      </c>
      <c r="K25" s="85">
        <f t="shared" si="48"/>
        <v>13378812457.978725</v>
      </c>
      <c r="L25" s="4"/>
      <c r="M25" s="56" t="s">
        <v>40</v>
      </c>
      <c r="N25" s="85">
        <f>N11-N14-N15-N18</f>
        <v>9655765776.1925983</v>
      </c>
      <c r="O25" s="85">
        <f t="shared" ref="O25:Q25" si="49">O11-O14-O15-O18</f>
        <v>10255775503.455603</v>
      </c>
      <c r="P25" s="85">
        <f t="shared" si="49"/>
        <v>10966742452.111992</v>
      </c>
      <c r="Q25" s="85">
        <f t="shared" si="49"/>
        <v>11708984046.55275</v>
      </c>
      <c r="R25" s="4"/>
      <c r="S25" s="4"/>
    </row>
    <row r="26" spans="1:19" s="2" customFormat="1" x14ac:dyDescent="0.25">
      <c r="A26" s="44" t="s">
        <v>41</v>
      </c>
      <c r="B26" s="86">
        <f>B12-B16-B23+B19+B20+B21</f>
        <v>14241352088.96102</v>
      </c>
      <c r="C26" s="86">
        <f t="shared" ref="C26:E26" si="50">C12-C16-C23+C19+C20+C21</f>
        <v>14923874426.998413</v>
      </c>
      <c r="D26" s="86">
        <f t="shared" si="50"/>
        <v>15593679969.400871</v>
      </c>
      <c r="E26" s="86">
        <f t="shared" si="50"/>
        <v>16236229265.149118</v>
      </c>
      <c r="F26" s="4"/>
      <c r="G26" s="44" t="s">
        <v>41</v>
      </c>
      <c r="H26" s="86">
        <f>H12-H16-H23+H19+H20+H21</f>
        <v>7444785886.6413708</v>
      </c>
      <c r="I26" s="86">
        <f t="shared" ref="I26:K26" si="51">I12-I16-I23+I19+I20+I21</f>
        <v>7640832067.8851929</v>
      </c>
      <c r="J26" s="86">
        <f t="shared" si="51"/>
        <v>7750875185.5866632</v>
      </c>
      <c r="K26" s="86">
        <f t="shared" si="51"/>
        <v>7871114315.1593781</v>
      </c>
      <c r="L26" s="4"/>
      <c r="M26" s="44" t="s">
        <v>41</v>
      </c>
      <c r="N26" s="86">
        <f>N12-N16-N23+N19+N20+N21</f>
        <v>6742209693.4815178</v>
      </c>
      <c r="O26" s="86">
        <f t="shared" ref="O26:Q26" si="52">O12-O16-O23+O19+O20+O21</f>
        <v>7138106304.1575127</v>
      </c>
      <c r="P26" s="86">
        <f t="shared" si="52"/>
        <v>7630683976.7270775</v>
      </c>
      <c r="Q26" s="86">
        <f t="shared" si="52"/>
        <v>8134000149.4412079</v>
      </c>
      <c r="R26" s="4"/>
      <c r="S26" s="4"/>
    </row>
    <row r="27" spans="1:19" s="2" customFormat="1" x14ac:dyDescent="0.25">
      <c r="A27" s="55" t="s">
        <v>42</v>
      </c>
      <c r="B27" s="91">
        <f>B25*B28</f>
        <v>562838417.59959137</v>
      </c>
      <c r="C27" s="91">
        <f>C25*C28</f>
        <v>593539018.06353164</v>
      </c>
      <c r="D27" s="91">
        <f t="shared" ref="D27" si="53">D25*D28</f>
        <v>625118851.91542244</v>
      </c>
      <c r="E27" s="91">
        <f t="shared" ref="E27" si="54">E25*E28</f>
        <v>656829205.97536826</v>
      </c>
      <c r="F27" s="4"/>
      <c r="G27" s="55" t="s">
        <v>42</v>
      </c>
      <c r="H27" s="91">
        <f>H25*H28</f>
        <v>331261004.87100762</v>
      </c>
      <c r="I27" s="91">
        <f t="shared" ref="I27:K27" si="55">I25*I28</f>
        <v>345429512.84373641</v>
      </c>
      <c r="J27" s="91">
        <f t="shared" si="55"/>
        <v>357959171.71046793</v>
      </c>
      <c r="K27" s="91">
        <f t="shared" si="55"/>
        <v>370593105.08601069</v>
      </c>
      <c r="L27" s="4"/>
      <c r="M27" s="55" t="s">
        <v>42</v>
      </c>
      <c r="N27" s="72">
        <f>N25*N28</f>
        <v>228841648.89576456</v>
      </c>
      <c r="O27" s="72">
        <f t="shared" ref="O27:Q27" si="56">O25*O28</f>
        <v>243061879.43189776</v>
      </c>
      <c r="P27" s="72">
        <f t="shared" si="56"/>
        <v>259911796.11505419</v>
      </c>
      <c r="Q27" s="72">
        <f t="shared" si="56"/>
        <v>277502921.90330017</v>
      </c>
      <c r="R27" s="4"/>
      <c r="S27" s="4"/>
    </row>
    <row r="28" spans="1:19" s="2" customFormat="1" x14ac:dyDescent="0.25">
      <c r="A28" s="67" t="s">
        <v>61</v>
      </c>
      <c r="B28" s="82">
        <f>'I-Dados'!$B$136</f>
        <v>2.6000000000000002E-2</v>
      </c>
      <c r="C28" s="82">
        <f>'I-Dados'!$B$136</f>
        <v>2.6000000000000002E-2</v>
      </c>
      <c r="D28" s="82">
        <f>'I-Dados'!$B$136</f>
        <v>2.6000000000000002E-2</v>
      </c>
      <c r="E28" s="82">
        <f>'I-Dados'!$B$136</f>
        <v>2.6000000000000002E-2</v>
      </c>
      <c r="F28" s="4"/>
      <c r="G28" s="67" t="s">
        <v>61</v>
      </c>
      <c r="H28" s="82">
        <f>'I-Dados'!$B$130</f>
        <v>2.7699999999999999E-2</v>
      </c>
      <c r="I28" s="82">
        <f>$H$28</f>
        <v>2.7699999999999999E-2</v>
      </c>
      <c r="J28" s="82">
        <f t="shared" ref="J28:K28" si="57">$H$28</f>
        <v>2.7699999999999999E-2</v>
      </c>
      <c r="K28" s="82">
        <f t="shared" si="57"/>
        <v>2.7699999999999999E-2</v>
      </c>
      <c r="L28" s="4"/>
      <c r="M28" s="67" t="s">
        <v>61</v>
      </c>
      <c r="N28" s="82">
        <f>'I-Dados'!B132</f>
        <v>2.3699999999999999E-2</v>
      </c>
      <c r="O28" s="82">
        <f>$N$28</f>
        <v>2.3699999999999999E-2</v>
      </c>
      <c r="P28" s="82">
        <f t="shared" ref="P28:Q28" si="58">$N$28</f>
        <v>2.3699999999999999E-2</v>
      </c>
      <c r="Q28" s="82">
        <f t="shared" si="58"/>
        <v>2.3699999999999999E-2</v>
      </c>
      <c r="R28" s="4"/>
      <c r="S28" s="4"/>
    </row>
    <row r="29" spans="1:19" s="2" customFormat="1" x14ac:dyDescent="0.25">
      <c r="A29" s="68" t="s">
        <v>47</v>
      </c>
      <c r="B29" s="87">
        <f>B26*B30</f>
        <v>1634167917.8052609</v>
      </c>
      <c r="C29" s="87">
        <f t="shared" ref="C29" si="59">C26*C30</f>
        <v>1712486050.8756943</v>
      </c>
      <c r="D29" s="87">
        <f t="shared" ref="D29" si="60">D26*D30</f>
        <v>1789344955.9659414</v>
      </c>
      <c r="E29" s="87">
        <f t="shared" ref="E29" si="61">E26*E30</f>
        <v>1863076258.8760121</v>
      </c>
      <c r="F29" s="4"/>
      <c r="G29" s="68" t="s">
        <v>47</v>
      </c>
      <c r="H29" s="91">
        <f>H26*H30</f>
        <v>854274943.48019421</v>
      </c>
      <c r="I29" s="87">
        <f t="shared" ref="I29" si="62">I26*I30</f>
        <v>876770867.86965036</v>
      </c>
      <c r="J29" s="87">
        <f t="shared" ref="J29" si="63">J26*J30</f>
        <v>889398105.18529844</v>
      </c>
      <c r="K29" s="87">
        <f t="shared" ref="K29" si="64">K26*K30</f>
        <v>903195315.36486185</v>
      </c>
      <c r="L29" s="4"/>
      <c r="M29" s="68" t="s">
        <v>47</v>
      </c>
      <c r="N29" s="87">
        <f>N26*N30</f>
        <v>773655668.88438261</v>
      </c>
      <c r="O29" s="87">
        <f t="shared" ref="O29:Q29" si="65">O26*O30</f>
        <v>819084047.86786652</v>
      </c>
      <c r="P29" s="87">
        <f t="shared" si="65"/>
        <v>875606393.81592548</v>
      </c>
      <c r="Q29" s="87">
        <f t="shared" si="65"/>
        <v>933360962.11983776</v>
      </c>
      <c r="R29" s="4"/>
      <c r="S29" s="4"/>
    </row>
    <row r="30" spans="1:19" s="2" customFormat="1" x14ac:dyDescent="0.25">
      <c r="A30" s="67" t="s">
        <v>62</v>
      </c>
      <c r="B30" s="82">
        <f>'I-Dados'!$B$77</f>
        <v>0.11474808765327575</v>
      </c>
      <c r="C30" s="82">
        <f>'I-Dados'!$B$77</f>
        <v>0.11474808765327575</v>
      </c>
      <c r="D30" s="82">
        <f>'I-Dados'!$B$77</f>
        <v>0.11474808765327575</v>
      </c>
      <c r="E30" s="82">
        <f>'I-Dados'!$B$77</f>
        <v>0.11474808765327575</v>
      </c>
      <c r="F30" s="4"/>
      <c r="G30" s="67" t="s">
        <v>62</v>
      </c>
      <c r="H30" s="82">
        <f>'I-Dados'!$B$77</f>
        <v>0.11474808765327575</v>
      </c>
      <c r="I30" s="82">
        <f>'I-Dados'!$B$77</f>
        <v>0.11474808765327575</v>
      </c>
      <c r="J30" s="82">
        <f>'I-Dados'!$B$77</f>
        <v>0.11474808765327575</v>
      </c>
      <c r="K30" s="82">
        <f>'I-Dados'!$B$77</f>
        <v>0.11474808765327575</v>
      </c>
      <c r="L30" s="4"/>
      <c r="M30" s="67" t="s">
        <v>62</v>
      </c>
      <c r="N30" s="82">
        <f>'I-Dados'!$B$77</f>
        <v>0.11474808765327575</v>
      </c>
      <c r="O30" s="82">
        <f>'I-Dados'!$B$77</f>
        <v>0.11474808765327575</v>
      </c>
      <c r="P30" s="82">
        <f>'I-Dados'!$B$77</f>
        <v>0.11474808765327575</v>
      </c>
      <c r="Q30" s="82">
        <f>'I-Dados'!$B$77</f>
        <v>0.11474808765327575</v>
      </c>
      <c r="R30" s="4"/>
      <c r="S30" s="4"/>
    </row>
    <row r="31" spans="1:19" s="2" customFormat="1" x14ac:dyDescent="0.25">
      <c r="A31" s="68" t="s">
        <v>43</v>
      </c>
      <c r="B31" s="88">
        <f>B32*B33</f>
        <v>27943076.710044168</v>
      </c>
      <c r="C31" s="88">
        <f t="shared" ref="C31" si="66">C32*C33</f>
        <v>29276729.273350567</v>
      </c>
      <c r="D31" s="88">
        <f t="shared" ref="D31" si="67">D32*D33</f>
        <v>30182105.261418279</v>
      </c>
      <c r="E31" s="88">
        <f t="shared" ref="E31" si="68">E32*E33</f>
        <v>31078008.905481089</v>
      </c>
      <c r="F31" s="4"/>
      <c r="G31" s="68" t="s">
        <v>43</v>
      </c>
      <c r="H31" s="88">
        <f>H32*H33</f>
        <v>17361938.297485325</v>
      </c>
      <c r="I31" s="88">
        <f t="shared" ref="I31" si="69">I32*I33</f>
        <v>17986017.051012952</v>
      </c>
      <c r="J31" s="88">
        <f t="shared" ref="J31" si="70">J32*J33</f>
        <v>18238823.243284296</v>
      </c>
      <c r="K31" s="88">
        <f t="shared" ref="K31" si="71">K32*K33</f>
        <v>18544942.890821401</v>
      </c>
      <c r="L31" s="4"/>
      <c r="M31" s="68" t="s">
        <v>43</v>
      </c>
      <c r="N31" s="88">
        <f>N32*N33</f>
        <v>10502626.63784302</v>
      </c>
      <c r="O31" s="88">
        <f t="shared" ref="O31:Q31" si="72">O32*O33</f>
        <v>11107429.69169548</v>
      </c>
      <c r="P31" s="88">
        <f t="shared" si="72"/>
        <v>11666652.990797926</v>
      </c>
      <c r="Q31" s="88">
        <f t="shared" si="72"/>
        <v>12215746.063579515</v>
      </c>
      <c r="R31" s="4"/>
      <c r="S31" s="4"/>
    </row>
    <row r="32" spans="1:19" s="2" customFormat="1" x14ac:dyDescent="0.25">
      <c r="A32" s="67" t="s">
        <v>63</v>
      </c>
      <c r="B32" s="80">
        <f>(B7+B27+B29+B35)/(1-B33-B34)</f>
        <v>5272278624.5366354</v>
      </c>
      <c r="C32" s="80">
        <f t="shared" ref="C32" si="73">(C7+C27+C29+C35)/(1-C33-C34)</f>
        <v>5523911183.6510506</v>
      </c>
      <c r="D32" s="80">
        <f t="shared" ref="D32" si="74">(D7+D27+D29+D35)/(1-D33-D34)</f>
        <v>5694736841.7770338</v>
      </c>
      <c r="E32" s="80">
        <f t="shared" ref="E32" si="75">(E7+E27+E29+E35)/(1-E33-E34)</f>
        <v>5863775265.185111</v>
      </c>
      <c r="F32" s="4"/>
      <c r="G32" s="67" t="s">
        <v>63</v>
      </c>
      <c r="H32" s="187">
        <f>(H7+H27+H29+H35)/(1-H33-H34)</f>
        <v>3275837414.6198726</v>
      </c>
      <c r="I32" s="80">
        <f t="shared" ref="I32" si="76">(I7+I27+I29+I35)/(1-I33-I34)</f>
        <v>3393588122.8326321</v>
      </c>
      <c r="J32" s="80">
        <f t="shared" ref="J32" si="77">(J7+J27+J29+J35)/(1-J33-J34)</f>
        <v>3441287404.3932633</v>
      </c>
      <c r="K32" s="80">
        <f t="shared" ref="K32" si="78">(K7+K27+K29+K35)/(1-K33-K34)</f>
        <v>3499045828.4568682</v>
      </c>
      <c r="L32" s="4"/>
      <c r="M32" s="67" t="s">
        <v>63</v>
      </c>
      <c r="N32" s="80">
        <f>(N7+N27+N29+N35)/(1-N33-N34)</f>
        <v>1981627667.5175509</v>
      </c>
      <c r="O32" s="80">
        <f t="shared" ref="O32:Q32" si="79">(O7+O27+O29+O35)/(1-O33-O34)</f>
        <v>2095741451.263298</v>
      </c>
      <c r="P32" s="80">
        <f t="shared" si="79"/>
        <v>2201255281.2826276</v>
      </c>
      <c r="Q32" s="80">
        <f t="shared" si="79"/>
        <v>2304857747.8451915</v>
      </c>
      <c r="R32" s="4"/>
      <c r="S32" s="4"/>
    </row>
    <row r="33" spans="1:19" s="2" customFormat="1" x14ac:dyDescent="0.25">
      <c r="A33" s="67" t="s">
        <v>64</v>
      </c>
      <c r="B33" s="82">
        <f>'I-Dados'!B94</f>
        <v>5.3E-3</v>
      </c>
      <c r="C33" s="82">
        <f>$B$33</f>
        <v>5.3E-3</v>
      </c>
      <c r="D33" s="82">
        <f t="shared" ref="D33:E33" si="80">$B$33</f>
        <v>5.3E-3</v>
      </c>
      <c r="E33" s="82">
        <f t="shared" si="80"/>
        <v>5.3E-3</v>
      </c>
      <c r="F33" s="4"/>
      <c r="G33" s="67" t="s">
        <v>64</v>
      </c>
      <c r="H33" s="82">
        <f>'I-Dados'!B92</f>
        <v>5.3E-3</v>
      </c>
      <c r="I33" s="82">
        <f>$H$33</f>
        <v>5.3E-3</v>
      </c>
      <c r="J33" s="82">
        <f t="shared" ref="J33:K33" si="81">$H$33</f>
        <v>5.3E-3</v>
      </c>
      <c r="K33" s="82">
        <f t="shared" si="81"/>
        <v>5.3E-3</v>
      </c>
      <c r="L33" s="4"/>
      <c r="M33" s="67" t="s">
        <v>64</v>
      </c>
      <c r="N33" s="82">
        <f>'I-Dados'!B93</f>
        <v>5.3E-3</v>
      </c>
      <c r="O33" s="82">
        <f>$N$33</f>
        <v>5.3E-3</v>
      </c>
      <c r="P33" s="82">
        <f t="shared" ref="P33:Q33" si="82">$N$33</f>
        <v>5.3E-3</v>
      </c>
      <c r="Q33" s="82">
        <f t="shared" si="82"/>
        <v>5.3E-3</v>
      </c>
      <c r="R33" s="4"/>
      <c r="S33" s="4"/>
    </row>
    <row r="34" spans="1:19" s="2" customFormat="1" x14ac:dyDescent="0.25">
      <c r="A34" s="67" t="s">
        <v>65</v>
      </c>
      <c r="B34" s="143">
        <f>'I-Dados'!B86</f>
        <v>6.9388000000000005E-2</v>
      </c>
      <c r="C34" s="143">
        <f>$B$34</f>
        <v>6.9388000000000005E-2</v>
      </c>
      <c r="D34" s="143">
        <f t="shared" ref="D34:E34" si="83">$B$34</f>
        <v>6.9388000000000005E-2</v>
      </c>
      <c r="E34" s="143">
        <f t="shared" si="83"/>
        <v>6.9388000000000005E-2</v>
      </c>
      <c r="F34" s="4"/>
      <c r="G34" s="67" t="s">
        <v>65</v>
      </c>
      <c r="H34" s="143">
        <f>'I-Dados'!B86</f>
        <v>6.9388000000000005E-2</v>
      </c>
      <c r="I34" s="143">
        <f>$H$34</f>
        <v>6.9388000000000005E-2</v>
      </c>
      <c r="J34" s="143">
        <f t="shared" ref="J34:K34" si="84">$H$34</f>
        <v>6.9388000000000005E-2</v>
      </c>
      <c r="K34" s="143">
        <f t="shared" si="84"/>
        <v>6.9388000000000005E-2</v>
      </c>
      <c r="L34" s="4"/>
      <c r="M34" s="67" t="s">
        <v>65</v>
      </c>
      <c r="N34" s="143">
        <f>'I-Dados'!B86</f>
        <v>6.9388000000000005E-2</v>
      </c>
      <c r="O34" s="143">
        <f>$N$34</f>
        <v>6.9388000000000005E-2</v>
      </c>
      <c r="P34" s="143">
        <f t="shared" ref="P34:Q34" si="85">$N$34</f>
        <v>6.9388000000000005E-2</v>
      </c>
      <c r="Q34" s="143">
        <f t="shared" si="85"/>
        <v>6.9388000000000005E-2</v>
      </c>
      <c r="R34" s="4"/>
      <c r="S34" s="4"/>
    </row>
    <row r="35" spans="1:19" s="2" customFormat="1" x14ac:dyDescent="0.25">
      <c r="A35" s="67" t="s">
        <v>66</v>
      </c>
      <c r="B35" s="80">
        <f>'I-Dados'!B47*B4/'I-Dados'!B5</f>
        <v>730453682.30274105</v>
      </c>
      <c r="C35" s="81">
        <f>B35*C4/B4</f>
        <v>764182871.23725748</v>
      </c>
      <c r="D35" s="81">
        <f>C35*D4/C4</f>
        <v>777701878.65388978</v>
      </c>
      <c r="E35" s="81">
        <f>D35*E4/D4</f>
        <v>791586816.82569396</v>
      </c>
      <c r="F35" s="4"/>
      <c r="G35" s="67" t="s">
        <v>66</v>
      </c>
      <c r="H35" s="132">
        <f>('I-Dados'!B41+'I-Dados'!B42+'I-Dados'!B43)*H4/'I-Dados'!B3</f>
        <v>618182317.78577101</v>
      </c>
      <c r="I35" s="81">
        <f>H35*I4/H4</f>
        <v>642395902.79387736</v>
      </c>
      <c r="J35" s="81">
        <f>I35*J4/I4</f>
        <v>648753056.52187669</v>
      </c>
      <c r="K35" s="81">
        <f>J35*K4/J4</f>
        <v>657801005.68105221</v>
      </c>
      <c r="L35" s="4"/>
      <c r="M35" s="67" t="s">
        <v>66</v>
      </c>
      <c r="N35" s="132">
        <f>('I-Dados'!B44+'I-Dados'!B45+'I-Dados'!B46)*N4/'I-Dados'!B4</f>
        <v>109328646.39081013</v>
      </c>
      <c r="O35" s="81">
        <f>N35*O4/N4</f>
        <v>115372014.14032155</v>
      </c>
      <c r="P35" s="81">
        <f>O35*P4/O4</f>
        <v>118563365.56201264</v>
      </c>
      <c r="Q35" s="81">
        <f>P35*Q4/P4</f>
        <v>121262478.99332622</v>
      </c>
      <c r="R35" s="4"/>
      <c r="S35" s="4"/>
    </row>
    <row r="36" spans="1:19" s="2" customFormat="1" x14ac:dyDescent="0.25">
      <c r="A36" s="70" t="s">
        <v>89</v>
      </c>
      <c r="B36" s="63">
        <f>B7+B29+B27+B31</f>
        <v>4175992073.0345464</v>
      </c>
      <c r="C36" s="63">
        <f>C7+C29+C27+C31</f>
        <v>4376435163.2026138</v>
      </c>
      <c r="D36" s="63">
        <f>D7+D29+D27+D31</f>
        <v>4521888563.1459198</v>
      </c>
      <c r="E36" s="63">
        <f>E7+E29+E27+E31</f>
        <v>4665312810.2587528</v>
      </c>
      <c r="F36" s="4"/>
      <c r="G36" s="120" t="s">
        <v>79</v>
      </c>
      <c r="H36" s="63">
        <f>H7+H29+H27+H31</f>
        <v>2430351290.3084579</v>
      </c>
      <c r="I36" s="63">
        <f>I7+I29+I27+I31</f>
        <v>2515717927.371644</v>
      </c>
      <c r="J36" s="63">
        <f>J7+J29+J27+J31</f>
        <v>2553750297.4553466</v>
      </c>
      <c r="K36" s="63">
        <f>K7+K29+K27+K31</f>
        <v>2598453030.8308516</v>
      </c>
      <c r="L36" s="4"/>
      <c r="M36" s="120" t="s">
        <v>85</v>
      </c>
      <c r="N36" s="63">
        <f>N7+N29+N27+N31</f>
        <v>1734797840.5330331</v>
      </c>
      <c r="O36" s="63">
        <f>O7+O29+O27+O31</f>
        <v>1834950129.3027189</v>
      </c>
      <c r="P36" s="63">
        <f>P7+P29+P27+P31</f>
        <v>1929951214.2629762</v>
      </c>
      <c r="Q36" s="63">
        <f>Q7+Q29+Q27+Q31</f>
        <v>2023665799.4443831</v>
      </c>
      <c r="R36" s="4"/>
      <c r="S36" s="4"/>
    </row>
    <row r="37" spans="1:19" s="2" customFormat="1" x14ac:dyDescent="0.25">
      <c r="A37" s="163" t="s">
        <v>248</v>
      </c>
      <c r="B37" s="4"/>
      <c r="C37" s="4"/>
      <c r="D37" s="4"/>
      <c r="E37" s="4"/>
      <c r="F37" s="4"/>
      <c r="G37" s="129" t="s">
        <v>248</v>
      </c>
      <c r="H37" s="114"/>
      <c r="I37" s="4"/>
      <c r="J37" s="4"/>
      <c r="K37" s="4"/>
      <c r="L37" s="4"/>
      <c r="M37" s="129" t="s">
        <v>248</v>
      </c>
      <c r="N37" s="114"/>
      <c r="O37" s="4"/>
      <c r="P37" s="4"/>
      <c r="Q37" s="4"/>
      <c r="R37" s="4"/>
      <c r="S37" s="4"/>
    </row>
    <row r="38" spans="1:19" s="2" customFormat="1" x14ac:dyDescent="0.25">
      <c r="A38" s="4"/>
      <c r="B38" s="4"/>
      <c r="C38" s="4"/>
      <c r="D38" s="4"/>
      <c r="E38" s="4"/>
      <c r="F38" s="4"/>
      <c r="G38" s="150"/>
      <c r="H38" s="147"/>
      <c r="I38" s="4"/>
      <c r="J38" s="4"/>
      <c r="K38" s="4"/>
      <c r="L38" s="4"/>
      <c r="M38" s="150"/>
      <c r="N38" s="147"/>
      <c r="O38" s="4"/>
      <c r="P38" s="4"/>
      <c r="Q38" s="4"/>
      <c r="R38" s="4"/>
      <c r="S38" s="4"/>
    </row>
    <row r="39" spans="1:19" s="2" customFormat="1" x14ac:dyDescent="0.25">
      <c r="A39" s="3" t="s">
        <v>241</v>
      </c>
      <c r="B39" s="4"/>
      <c r="C39" s="4"/>
      <c r="D39" s="4"/>
      <c r="E39" s="4"/>
      <c r="F39" s="4"/>
      <c r="G39" s="150"/>
      <c r="H39" s="147"/>
      <c r="I39" s="4"/>
      <c r="J39" s="4"/>
      <c r="K39" s="4"/>
      <c r="L39" s="4"/>
      <c r="M39" s="150"/>
      <c r="N39" s="147"/>
      <c r="O39" s="4"/>
      <c r="P39" s="4"/>
      <c r="Q39" s="4"/>
      <c r="R39" s="4"/>
      <c r="S39" s="4"/>
    </row>
    <row r="40" spans="1:19" s="2" customFormat="1" x14ac:dyDescent="0.25">
      <c r="A40" s="165" t="s">
        <v>240</v>
      </c>
      <c r="B40" s="62">
        <v>2021</v>
      </c>
      <c r="C40" s="62">
        <v>2022</v>
      </c>
      <c r="D40" s="62">
        <v>2023</v>
      </c>
      <c r="E40" s="62">
        <v>2024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x14ac:dyDescent="0.25">
      <c r="A41" s="68" t="s">
        <v>192</v>
      </c>
      <c r="B41" s="88">
        <f>SUM(B42:B44)</f>
        <v>1639346759.4563699</v>
      </c>
      <c r="C41" s="88"/>
      <c r="D41" s="88"/>
      <c r="E41" s="88"/>
      <c r="F41" s="4"/>
      <c r="G41" s="3" t="s">
        <v>80</v>
      </c>
      <c r="H41" s="4"/>
      <c r="I41" s="4"/>
      <c r="J41" s="4"/>
      <c r="K41" s="4"/>
      <c r="L41" s="4"/>
      <c r="M41" s="3" t="s">
        <v>86</v>
      </c>
      <c r="N41" s="4"/>
      <c r="O41" s="4"/>
      <c r="P41" s="4"/>
      <c r="Q41" s="4"/>
      <c r="R41" s="4"/>
      <c r="S41" s="4"/>
    </row>
    <row r="42" spans="1:19" s="2" customFormat="1" x14ac:dyDescent="0.25">
      <c r="A42" s="67" t="s">
        <v>203</v>
      </c>
      <c r="B42" s="166">
        <f>'I-Dados'!B173+'I-Dados'!B174-'I-Dados'!B175</f>
        <v>-116331786.48363021</v>
      </c>
      <c r="C42" s="166"/>
      <c r="D42" s="166"/>
      <c r="E42" s="166"/>
      <c r="F42" s="4"/>
      <c r="G42" s="53" t="s">
        <v>81</v>
      </c>
      <c r="H42" s="53" t="s">
        <v>67</v>
      </c>
      <c r="I42" s="4"/>
      <c r="J42" s="4"/>
      <c r="K42" s="4"/>
      <c r="L42" s="4"/>
      <c r="M42" s="53" t="s">
        <v>87</v>
      </c>
      <c r="N42" s="53" t="s">
        <v>67</v>
      </c>
      <c r="O42" s="4"/>
      <c r="P42" s="4"/>
      <c r="Q42" s="4"/>
      <c r="R42" s="4"/>
      <c r="S42" s="4"/>
    </row>
    <row r="43" spans="1:19" s="2" customFormat="1" x14ac:dyDescent="0.25">
      <c r="A43" s="67" t="s">
        <v>204</v>
      </c>
      <c r="B43" s="166">
        <f>'I-Dados'!B171</f>
        <v>1708762658.6800001</v>
      </c>
      <c r="C43" s="166"/>
      <c r="D43" s="166"/>
      <c r="E43" s="166"/>
      <c r="F43" s="4"/>
      <c r="G43" s="49" t="s">
        <v>44</v>
      </c>
      <c r="H43" s="89">
        <f>NPV('I-Dados'!$B$76,'A-Tarifa-P0'!H6:K6)</f>
        <v>8425098575.991312</v>
      </c>
      <c r="I43" s="4"/>
      <c r="J43" s="4"/>
      <c r="K43" s="4"/>
      <c r="L43" s="4"/>
      <c r="M43" s="49" t="s">
        <v>44</v>
      </c>
      <c r="N43" s="89">
        <f>NPV('I-Dados'!$B$76,'A-Tarifa-P0'!N6:Q6)</f>
        <v>6259891411.5235672</v>
      </c>
      <c r="O43" s="4"/>
      <c r="P43" s="4"/>
      <c r="Q43" s="4"/>
      <c r="R43" s="4"/>
      <c r="S43" s="4"/>
    </row>
    <row r="44" spans="1:19" s="2" customFormat="1" x14ac:dyDescent="0.25">
      <c r="A44" s="67" t="s">
        <v>205</v>
      </c>
      <c r="B44" s="166">
        <f>'I-Dados'!B172</f>
        <v>46915887.259999998</v>
      </c>
      <c r="C44" s="166"/>
      <c r="D44" s="166"/>
      <c r="E44" s="166"/>
      <c r="F44" s="16"/>
      <c r="G44" s="49" t="s">
        <v>45</v>
      </c>
      <c r="H44" s="89">
        <f>NPV('I-Dados'!$B$76,'A-Tarifa-P0'!H36:K36)</f>
        <v>8425098575.9940653</v>
      </c>
      <c r="I44" s="4"/>
      <c r="J44" s="4"/>
      <c r="K44" s="4"/>
      <c r="L44" s="4"/>
      <c r="M44" s="49" t="s">
        <v>45</v>
      </c>
      <c r="N44" s="89">
        <f>NPV('I-Dados'!$B$76,'A-Tarifa-P0'!N36:Q36)</f>
        <v>6259891411.5266838</v>
      </c>
      <c r="O44" s="4"/>
      <c r="P44" s="4"/>
      <c r="Q44" s="4"/>
      <c r="R44" s="4"/>
      <c r="S44" s="4"/>
    </row>
    <row r="45" spans="1:19" s="2" customFormat="1" x14ac:dyDescent="0.25">
      <c r="A45" s="68" t="s">
        <v>201</v>
      </c>
      <c r="B45" s="122">
        <f>SUM(B46:B48)</f>
        <v>0.43512767868505137</v>
      </c>
      <c r="C45" s="122">
        <f>SUM(C46:C48)</f>
        <v>0.43512767868505137</v>
      </c>
      <c r="D45" s="122">
        <f>SUM(D46:D48)</f>
        <v>0.43512767868505137</v>
      </c>
      <c r="E45" s="122">
        <f>SUM(E46:E48)</f>
        <v>0.43512767868505137</v>
      </c>
      <c r="F45" s="16"/>
      <c r="G45" s="108" t="s">
        <v>46</v>
      </c>
      <c r="H45" s="109">
        <f>ROUND(H43-H44,2)</f>
        <v>0</v>
      </c>
      <c r="I45" s="110"/>
      <c r="J45" s="110"/>
      <c r="K45" s="110"/>
      <c r="L45" s="110"/>
      <c r="M45" s="108" t="s">
        <v>46</v>
      </c>
      <c r="N45" s="109">
        <f>ROUND(N43-N44,2)</f>
        <v>0</v>
      </c>
      <c r="O45" s="110"/>
      <c r="P45" s="110"/>
      <c r="Q45" s="110"/>
      <c r="R45" s="4"/>
      <c r="S45" s="4"/>
    </row>
    <row r="46" spans="1:19" s="2" customFormat="1" x14ac:dyDescent="0.25">
      <c r="A46" s="67" t="s">
        <v>203</v>
      </c>
      <c r="B46" s="167">
        <f>B67</f>
        <v>-3.562749619834079E-2</v>
      </c>
      <c r="C46" s="167">
        <f>$B$46</f>
        <v>-3.562749619834079E-2</v>
      </c>
      <c r="D46" s="167">
        <f>$B$46</f>
        <v>-3.562749619834079E-2</v>
      </c>
      <c r="E46" s="167">
        <f>$B$46</f>
        <v>-3.562749619834079E-2</v>
      </c>
      <c r="F46" s="16"/>
      <c r="G46" s="44" t="s">
        <v>73</v>
      </c>
      <c r="H46" s="90">
        <v>4.515232636969837</v>
      </c>
      <c r="I46" s="4"/>
      <c r="J46" s="4"/>
      <c r="K46" s="4"/>
      <c r="L46" s="4"/>
      <c r="M46" s="44" t="s">
        <v>74</v>
      </c>
      <c r="N46" s="90">
        <v>4.3089692509928579</v>
      </c>
      <c r="O46" s="4"/>
      <c r="P46" s="4"/>
      <c r="Q46" s="4"/>
      <c r="R46" s="4"/>
      <c r="S46" s="4"/>
    </row>
    <row r="47" spans="1:19" s="2" customFormat="1" x14ac:dyDescent="0.25">
      <c r="A47" s="67" t="s">
        <v>204</v>
      </c>
      <c r="B47" s="167">
        <f>B71</f>
        <v>0.4587722090690004</v>
      </c>
      <c r="C47" s="167">
        <f>$B$47</f>
        <v>0.4587722090690004</v>
      </c>
      <c r="D47" s="167">
        <f>$B$47</f>
        <v>0.4587722090690004</v>
      </c>
      <c r="E47" s="167">
        <f>$B$47</f>
        <v>0.4587722090690004</v>
      </c>
      <c r="F47" s="16"/>
      <c r="G47" s="129" t="s">
        <v>248</v>
      </c>
      <c r="H47" s="114"/>
      <c r="I47" s="4"/>
      <c r="J47" s="4"/>
      <c r="K47" s="4"/>
      <c r="L47" s="4"/>
      <c r="M47" s="129" t="s">
        <v>248</v>
      </c>
      <c r="N47" s="114"/>
      <c r="O47" s="4"/>
      <c r="P47" s="4"/>
      <c r="Q47" s="4"/>
      <c r="R47" s="4"/>
      <c r="S47" s="4"/>
    </row>
    <row r="48" spans="1:19" s="2" customFormat="1" x14ac:dyDescent="0.25">
      <c r="A48" s="67" t="s">
        <v>205</v>
      </c>
      <c r="B48" s="167">
        <f>B75</f>
        <v>1.1982965814391715E-2</v>
      </c>
      <c r="C48" s="167">
        <f>$B$48</f>
        <v>1.1982965814391715E-2</v>
      </c>
      <c r="D48" s="167">
        <f>$B$48</f>
        <v>1.1982965814391715E-2</v>
      </c>
      <c r="E48" s="167">
        <f>$B$48</f>
        <v>1.1982965814391715E-2</v>
      </c>
      <c r="F48" s="1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x14ac:dyDescent="0.25">
      <c r="A49" s="68" t="s">
        <v>202</v>
      </c>
      <c r="B49" s="88">
        <f>SUM(B50:B52)</f>
        <v>406150358.32019085</v>
      </c>
      <c r="C49" s="88">
        <f>SUM(C50:C52)</f>
        <v>424904623.65350682</v>
      </c>
      <c r="D49" s="88">
        <f>SUM(D50:D52)</f>
        <v>432421526.96911341</v>
      </c>
      <c r="E49" s="88">
        <f>SUM(E50:E52)</f>
        <v>440141896.85752851</v>
      </c>
      <c r="F49" s="1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x14ac:dyDescent="0.25">
      <c r="A50" s="67" t="s">
        <v>203</v>
      </c>
      <c r="B50" s="166">
        <f t="shared" ref="B50:E52" si="86">B46*B$4</f>
        <v>-33254883.694679718</v>
      </c>
      <c r="C50" s="166">
        <f t="shared" si="86"/>
        <v>-34790450.264208414</v>
      </c>
      <c r="D50" s="166">
        <f t="shared" si="86"/>
        <v>-35405921.21082662</v>
      </c>
      <c r="E50" s="166">
        <f t="shared" si="86"/>
        <v>-36038051.645922154</v>
      </c>
      <c r="F50" s="1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15" customHeight="1" x14ac:dyDescent="0.25">
      <c r="A51" s="67" t="s">
        <v>204</v>
      </c>
      <c r="B51" s="166">
        <f t="shared" si="86"/>
        <v>428220281.60517788</v>
      </c>
      <c r="C51" s="166">
        <f t="shared" si="86"/>
        <v>447993640.45569384</v>
      </c>
      <c r="D51" s="166">
        <f t="shared" si="86"/>
        <v>455919006.98231977</v>
      </c>
      <c r="E51" s="166">
        <f t="shared" si="86"/>
        <v>464058896.31145072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15" customHeight="1" x14ac:dyDescent="0.25">
      <c r="A52" s="67" t="s">
        <v>205</v>
      </c>
      <c r="B52" s="166">
        <f t="shared" si="86"/>
        <v>11184960.409692718</v>
      </c>
      <c r="C52" s="166">
        <f t="shared" si="86"/>
        <v>11701433.462021386</v>
      </c>
      <c r="D52" s="166">
        <f t="shared" si="86"/>
        <v>11908441.197620295</v>
      </c>
      <c r="E52" s="166">
        <f t="shared" si="86"/>
        <v>12121052.191999944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15" customHeight="1" x14ac:dyDescent="0.25">
      <c r="A53" s="163" t="s">
        <v>72</v>
      </c>
      <c r="B53" s="16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s="2" customForma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2" customFormat="1" x14ac:dyDescent="0.25">
      <c r="A55" s="3" t="s">
        <v>242</v>
      </c>
      <c r="B55" s="4"/>
      <c r="C55" s="4"/>
      <c r="D55" s="13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s="2" customFormat="1" x14ac:dyDescent="0.25">
      <c r="A56" s="53" t="s">
        <v>71</v>
      </c>
      <c r="B56" s="53" t="s">
        <v>67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s="2" customFormat="1" x14ac:dyDescent="0.25">
      <c r="A57" s="49" t="s">
        <v>44</v>
      </c>
      <c r="B57" s="89">
        <f>NPV('I-Dados'!$B$76,'A-Tarifa-P0'!B6:E6)</f>
        <v>14780268011.8701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s="2" customFormat="1" x14ac:dyDescent="0.25">
      <c r="A58" s="49" t="s">
        <v>45</v>
      </c>
      <c r="B58" s="89">
        <f>NPV('I-Dados'!$B$76,'A-Tarifa-P0'!B36:E36)</f>
        <v>14780268011.871861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100" customFormat="1" x14ac:dyDescent="0.25">
      <c r="A59" s="108" t="s">
        <v>46</v>
      </c>
      <c r="B59" s="109">
        <f>ROUND(B57-B58,2)</f>
        <v>0</v>
      </c>
      <c r="C59" s="128"/>
      <c r="D59" s="110"/>
      <c r="E59" s="110"/>
      <c r="F59" s="11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110"/>
      <c r="S59" s="110"/>
    </row>
    <row r="60" spans="1:19" s="2" customFormat="1" x14ac:dyDescent="0.25">
      <c r="A60" s="107" t="s">
        <v>73</v>
      </c>
      <c r="B60" s="124">
        <f>H46</f>
        <v>4.515232636969837</v>
      </c>
      <c r="C60" s="9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s="2" customFormat="1" ht="15" customHeight="1" x14ac:dyDescent="0.25">
      <c r="A61" s="107" t="s">
        <v>74</v>
      </c>
      <c r="B61" s="124">
        <f>N46</f>
        <v>4.3089692509928579</v>
      </c>
      <c r="C61" s="9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s="2" customFormat="1" x14ac:dyDescent="0.25">
      <c r="A62" s="44" t="s">
        <v>210</v>
      </c>
      <c r="B62" s="90">
        <v>4.4533785064871774</v>
      </c>
      <c r="C62" s="96"/>
      <c r="D62" s="11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s="2" customFormat="1" x14ac:dyDescent="0.25">
      <c r="A63" s="53" t="s">
        <v>192</v>
      </c>
      <c r="B63" s="53" t="s">
        <v>67</v>
      </c>
      <c r="C63" s="96"/>
      <c r="D63" s="111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s="2" customFormat="1" x14ac:dyDescent="0.25">
      <c r="A64" s="49" t="s">
        <v>44</v>
      </c>
      <c r="B64" s="89">
        <f>NPV('I-Dados'!B76,'A-Tarifa-P0'!B50:E50)</f>
        <v>-116331786.48783211</v>
      </c>
      <c r="C64" s="96"/>
      <c r="D64" s="11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2" customFormat="1" x14ac:dyDescent="0.25">
      <c r="A65" s="49" t="s">
        <v>45</v>
      </c>
      <c r="B65" s="89">
        <f>B42</f>
        <v>-116331786.48363021</v>
      </c>
      <c r="C65" s="96"/>
      <c r="D65" s="11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s="2" customFormat="1" x14ac:dyDescent="0.25">
      <c r="A66" s="108" t="s">
        <v>46</v>
      </c>
      <c r="B66" s="89">
        <f>ROUND(B64-B65,2)</f>
        <v>0</v>
      </c>
      <c r="C66" s="96"/>
      <c r="D66" s="111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s="2" customFormat="1" x14ac:dyDescent="0.25">
      <c r="A67" s="126" t="s">
        <v>266</v>
      </c>
      <c r="B67" s="127">
        <v>-3.562749619834079E-2</v>
      </c>
      <c r="C67" s="96"/>
      <c r="D67" s="11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s="2" customFormat="1" x14ac:dyDescent="0.25">
      <c r="A68" s="49" t="s">
        <v>44</v>
      </c>
      <c r="B68" s="89">
        <f>NPV('I-Dados'!B155,'A-Tarifa-P0'!B51:E51)</f>
        <v>1708762658.6826363</v>
      </c>
      <c r="C68" s="96"/>
      <c r="D68" s="111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s="2" customFormat="1" x14ac:dyDescent="0.25">
      <c r="A69" s="49" t="s">
        <v>45</v>
      </c>
      <c r="B69" s="89">
        <f>B43</f>
        <v>1708762658.6800001</v>
      </c>
      <c r="C69" s="96"/>
      <c r="D69" s="111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s="2" customFormat="1" x14ac:dyDescent="0.25">
      <c r="A70" s="108" t="s">
        <v>46</v>
      </c>
      <c r="B70" s="89">
        <f>ROUND(B68-B69,2)</f>
        <v>0</v>
      </c>
      <c r="C70" s="96"/>
      <c r="D70" s="11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s="2" customFormat="1" x14ac:dyDescent="0.25">
      <c r="A71" s="126" t="s">
        <v>267</v>
      </c>
      <c r="B71" s="127">
        <v>0.4587722090690004</v>
      </c>
      <c r="C71" s="96"/>
      <c r="D71" s="11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s="2" customFormat="1" x14ac:dyDescent="0.25">
      <c r="A72" s="49" t="s">
        <v>44</v>
      </c>
      <c r="B72" s="89">
        <f>SUM(B52:E52)</f>
        <v>46915887.261334345</v>
      </c>
      <c r="C72" s="96"/>
      <c r="D72" s="11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2" customFormat="1" x14ac:dyDescent="0.25">
      <c r="A73" s="49" t="s">
        <v>45</v>
      </c>
      <c r="B73" s="89">
        <f>B44</f>
        <v>46915887.259999998</v>
      </c>
      <c r="C73" s="96"/>
      <c r="D73" s="111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s="2" customFormat="1" x14ac:dyDescent="0.25">
      <c r="A74" s="108" t="s">
        <v>46</v>
      </c>
      <c r="B74" s="89">
        <f>ROUND(B72-B73,2)</f>
        <v>0</v>
      </c>
      <c r="C74" s="96"/>
      <c r="D74" s="111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s="2" customFormat="1" x14ac:dyDescent="0.25">
      <c r="A75" s="126" t="s">
        <v>268</v>
      </c>
      <c r="B75" s="127">
        <v>1.1982965814391715E-2</v>
      </c>
      <c r="C75" s="96"/>
      <c r="D75" s="11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s="2" customFormat="1" x14ac:dyDescent="0.25">
      <c r="A76" s="121" t="s">
        <v>211</v>
      </c>
      <c r="B76" s="125">
        <f>B75+B71+B67</f>
        <v>0.43512767868505137</v>
      </c>
      <c r="C76" s="96"/>
      <c r="D76" s="111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s="2" customFormat="1" x14ac:dyDescent="0.25">
      <c r="A77" s="70" t="s">
        <v>209</v>
      </c>
      <c r="B77" s="123">
        <f>ROUND(B62+B76,3)</f>
        <v>4.8890000000000002</v>
      </c>
      <c r="C77" s="96"/>
      <c r="D77" s="11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s="2" customFormat="1" x14ac:dyDescent="0.25">
      <c r="A78" s="249" t="s">
        <v>249</v>
      </c>
      <c r="B78" s="250"/>
      <c r="C78" s="4"/>
      <c r="D78" s="11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s="2" customFormat="1" x14ac:dyDescent="0.25">
      <c r="A79" s="9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s="2" customForma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s="2" customFormat="1" x14ac:dyDescent="0.25">
      <c r="A81" s="92" t="s">
        <v>38</v>
      </c>
      <c r="B81" s="93" t="str">
        <f>IF(AND(B59=0,B66=0,B70=0,B74=0,H45=0,N45=0),"OK","Verificar VPLs")</f>
        <v>OK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s="2" customForma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s="2" customForma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x14ac:dyDescent="0.25"/>
    <row r="85" spans="1:19" x14ac:dyDescent="0.25"/>
    <row r="86" spans="1:19" x14ac:dyDescent="0.25"/>
    <row r="87" spans="1:19" hidden="1" x14ac:dyDescent="0.25">
      <c r="A87" s="97"/>
      <c r="B87" s="97"/>
      <c r="C87" s="97"/>
      <c r="D87" s="97"/>
      <c r="E87" s="97"/>
    </row>
    <row r="88" spans="1:19" hidden="1" x14ac:dyDescent="0.25">
      <c r="A88" s="113"/>
      <c r="B88" s="98"/>
      <c r="C88" s="98"/>
      <c r="D88" s="98"/>
      <c r="E88" s="98"/>
    </row>
    <row r="89" spans="1:19" hidden="1" x14ac:dyDescent="0.25">
      <c r="A89" s="97"/>
      <c r="B89" s="97"/>
      <c r="C89" s="97"/>
      <c r="D89" s="97"/>
      <c r="E89" s="97"/>
    </row>
    <row r="90" spans="1:19" hidden="1" x14ac:dyDescent="0.25">
      <c r="A90" s="97"/>
      <c r="B90" s="97"/>
      <c r="C90" s="97"/>
      <c r="D90" s="97"/>
      <c r="E90" s="97"/>
    </row>
    <row r="91" spans="1:19" x14ac:dyDescent="0.25"/>
    <row r="92" spans="1:19" x14ac:dyDescent="0.25"/>
    <row r="93" spans="1:19" x14ac:dyDescent="0.25"/>
    <row r="94" spans="1:19" x14ac:dyDescent="0.25"/>
    <row r="95" spans="1:19" x14ac:dyDescent="0.25"/>
    <row r="96" spans="1:19" x14ac:dyDescent="0.25"/>
    <row r="97" x14ac:dyDescent="0.25"/>
    <row r="98" x14ac:dyDescent="0.25"/>
    <row r="99" x14ac:dyDescent="0.25"/>
    <row r="100" x14ac:dyDescent="0.25"/>
    <row r="101" x14ac:dyDescent="0.25"/>
  </sheetData>
  <mergeCells count="1">
    <mergeCell ref="A78:B78"/>
  </mergeCells>
  <conditionalFormatting sqref="B81">
    <cfRule type="expression" dxfId="0" priority="1">
      <formula>$B$81="Verificar VPLs"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E92E8-E095-44A1-B969-2D0199C826BB}">
  <dimension ref="A1:I57"/>
  <sheetViews>
    <sheetView zoomScale="85" zoomScaleNormal="85" workbookViewId="0">
      <selection activeCell="C55" sqref="C55"/>
    </sheetView>
  </sheetViews>
  <sheetFormatPr defaultRowHeight="15" x14ac:dyDescent="0.25"/>
  <cols>
    <col min="1" max="1" width="41.7109375" style="2" customWidth="1"/>
    <col min="2" max="2" width="24" style="2" customWidth="1"/>
    <col min="3" max="5" width="19.7109375" style="2" customWidth="1"/>
    <col min="6" max="6" width="9.140625" style="2"/>
    <col min="7" max="7" width="15.28515625" style="2" bestFit="1" customWidth="1"/>
    <col min="8" max="8" width="11.5703125" style="2" bestFit="1" customWidth="1"/>
    <col min="9" max="9" width="13.28515625" style="2" bestFit="1" customWidth="1"/>
    <col min="10" max="16384" width="9.140625" style="2"/>
  </cols>
  <sheetData>
    <row r="1" spans="1:9" x14ac:dyDescent="0.25">
      <c r="A1" s="1" t="s">
        <v>68</v>
      </c>
    </row>
    <row r="2" spans="1:9" x14ac:dyDescent="0.25">
      <c r="A2" s="69" t="s">
        <v>76</v>
      </c>
      <c r="B2" s="62">
        <v>2021</v>
      </c>
      <c r="C2" s="62">
        <v>2022</v>
      </c>
      <c r="D2" s="62">
        <v>2023</v>
      </c>
      <c r="E2" s="62">
        <v>2024</v>
      </c>
    </row>
    <row r="3" spans="1:9" x14ac:dyDescent="0.25">
      <c r="A3" s="57" t="s">
        <v>189</v>
      </c>
      <c r="B3" s="58">
        <f>'A-Tarifa-P0'!$B$62*(1-'A-Fator-X'!$B$45)^('A-Fator-X'!B2-'A-Fator-X'!$B$2)</f>
        <v>4.4533785064871774</v>
      </c>
      <c r="C3" s="58">
        <f>'A-Tarifa-P0'!$B$62*(1-'A-Fator-X'!$B$45)^('A-Fator-X'!C2-'A-Fator-X'!$B$2)</f>
        <v>4.4098868522539769</v>
      </c>
      <c r="D3" s="58">
        <f>'A-Tarifa-P0'!$B$62*(1-'A-Fator-X'!$B$45)^('A-Fator-X'!D2-'A-Fator-X'!$B$2)</f>
        <v>4.3668199371228278</v>
      </c>
      <c r="E3" s="58">
        <f>'A-Tarifa-P0'!$B$62*(1-'A-Fator-X'!$B$45)^('A-Fator-X'!E2-'A-Fator-X'!$B$2)</f>
        <v>4.3241736130954997</v>
      </c>
    </row>
    <row r="4" spans="1:9" x14ac:dyDescent="0.25">
      <c r="A4" s="59" t="s">
        <v>48</v>
      </c>
      <c r="B4" s="60">
        <f>'A-Tarifa-P0'!B4</f>
        <v>933405017</v>
      </c>
      <c r="C4" s="60">
        <f>'A-Tarifa-P0'!C4</f>
        <v>976505620</v>
      </c>
      <c r="D4" s="60">
        <f>'A-Tarifa-P0'!D4</f>
        <v>993780787</v>
      </c>
      <c r="E4" s="60">
        <f>'A-Tarifa-P0'!E4</f>
        <v>1011523556</v>
      </c>
      <c r="F4" s="102"/>
    </row>
    <row r="5" spans="1:9" x14ac:dyDescent="0.25">
      <c r="A5" s="59" t="s">
        <v>188</v>
      </c>
      <c r="B5" s="60">
        <f>'I-Dados'!C8</f>
        <v>5683574</v>
      </c>
      <c r="C5" s="60">
        <f>'I-Dados'!D8</f>
        <v>5810788</v>
      </c>
      <c r="D5" s="60">
        <f>'I-Dados'!E8</f>
        <v>5958529</v>
      </c>
      <c r="E5" s="60">
        <f>'I-Dados'!F8</f>
        <v>6103986</v>
      </c>
      <c r="F5" s="102"/>
    </row>
    <row r="6" spans="1:9" x14ac:dyDescent="0.25">
      <c r="A6" s="64" t="s">
        <v>12</v>
      </c>
      <c r="B6" s="60">
        <f>'A-Tarifa-P0'!B5</f>
        <v>69869235.884865224</v>
      </c>
      <c r="C6" s="60">
        <f>B6*(((C4/B4-1)/2)+1)</f>
        <v>71482365.310431033</v>
      </c>
      <c r="D6" s="60">
        <f>C6*(((D4/C4-1)/2)+1)</f>
        <v>72114655.47497341</v>
      </c>
      <c r="E6" s="60">
        <f>D6*(((E4/D4-1)/2)+1)</f>
        <v>72758415.995575532</v>
      </c>
      <c r="F6" s="102"/>
    </row>
    <row r="7" spans="1:9" x14ac:dyDescent="0.25">
      <c r="A7" s="70" t="s">
        <v>88</v>
      </c>
      <c r="B7" s="63">
        <f>B3*B4+B6</f>
        <v>4226675076.4399638</v>
      </c>
      <c r="C7" s="63">
        <f>C3*C4+C6</f>
        <v>4377761660.1005497</v>
      </c>
      <c r="D7" s="63">
        <f>D3*D4+D6</f>
        <v>4411776409.2761879</v>
      </c>
      <c r="E7" s="63">
        <f>E3*E4+E6</f>
        <v>4446761885.8753042</v>
      </c>
      <c r="F7" s="37"/>
    </row>
    <row r="8" spans="1:9" x14ac:dyDescent="0.25">
      <c r="A8" s="55" t="s">
        <v>19</v>
      </c>
      <c r="B8" s="72">
        <f t="shared" ref="B8:E8" si="0">SUM(B9:B11)</f>
        <v>1936281372.9405565</v>
      </c>
      <c r="C8" s="72">
        <f t="shared" si="0"/>
        <v>1978184219.3769879</v>
      </c>
      <c r="D8" s="72">
        <f t="shared" si="0"/>
        <v>1998597156.0056067</v>
      </c>
      <c r="E8" s="72">
        <f t="shared" si="0"/>
        <v>2019327686.9427588</v>
      </c>
      <c r="F8" s="103"/>
    </row>
    <row r="9" spans="1:9" x14ac:dyDescent="0.25">
      <c r="A9" s="57" t="s">
        <v>49</v>
      </c>
      <c r="B9" s="99">
        <f>('I-Dados'!B23+'I-Dados'!B24)</f>
        <v>919307834.16813731</v>
      </c>
      <c r="C9" s="61">
        <f>$B$9</f>
        <v>919307834.16813731</v>
      </c>
      <c r="D9" s="61">
        <f t="shared" ref="D9:E9" si="1">$B$9</f>
        <v>919307834.16813731</v>
      </c>
      <c r="E9" s="61">
        <f t="shared" si="1"/>
        <v>919307834.16813731</v>
      </c>
      <c r="F9" s="103"/>
    </row>
    <row r="10" spans="1:9" x14ac:dyDescent="0.25">
      <c r="A10" s="59" t="s">
        <v>50</v>
      </c>
      <c r="B10" s="60">
        <f>('I-Dados'!B25+'I-Dados'!B26)*'A-Fator-X'!B5/'I-Dados'!B8</f>
        <v>212524915.75283211</v>
      </c>
      <c r="C10" s="61">
        <f>B10*C$5/B$5</f>
        <v>217281807.21453926</v>
      </c>
      <c r="D10" s="61">
        <f>C10*D$5/C$5</f>
        <v>222806261.2954115</v>
      </c>
      <c r="E10" s="61">
        <f t="shared" ref="E10" si="2">D10*E$5/D$5</f>
        <v>228245310.15281352</v>
      </c>
      <c r="F10" s="103"/>
      <c r="I10" s="100"/>
    </row>
    <row r="11" spans="1:9" x14ac:dyDescent="0.25">
      <c r="A11" s="57" t="s">
        <v>51</v>
      </c>
      <c r="B11" s="61">
        <f>('I-Dados'!B27+'I-Dados'!B28)*'A-Fator-X'!B4/'I-Dados'!B5</f>
        <v>804448623.01958692</v>
      </c>
      <c r="C11" s="61">
        <f>B11*C$4/B$4</f>
        <v>841594577.99431133</v>
      </c>
      <c r="D11" s="61">
        <f t="shared" ref="D11:E11" si="3">C11*D$4/C$4</f>
        <v>856483060.54205763</v>
      </c>
      <c r="E11" s="61">
        <f t="shared" si="3"/>
        <v>871774542.62180805</v>
      </c>
      <c r="F11" s="103"/>
    </row>
    <row r="12" spans="1:9" x14ac:dyDescent="0.25">
      <c r="A12" s="56" t="s">
        <v>39</v>
      </c>
      <c r="B12" s="72">
        <f t="shared" ref="B12:D12" si="4">B13</f>
        <v>23126151201.718319</v>
      </c>
      <c r="C12" s="72">
        <f t="shared" si="4"/>
        <v>24387590908.234085</v>
      </c>
      <c r="D12" s="72">
        <f t="shared" si="4"/>
        <v>25685156940.948513</v>
      </c>
      <c r="E12" s="72">
        <f>E13</f>
        <v>26988085845.087456</v>
      </c>
      <c r="F12" s="103"/>
    </row>
    <row r="13" spans="1:9" x14ac:dyDescent="0.25">
      <c r="A13" s="65" t="s">
        <v>52</v>
      </c>
      <c r="B13" s="84">
        <f>'I-Dados'!B115+(0.5*B23)</f>
        <v>23126151201.718319</v>
      </c>
      <c r="C13" s="84">
        <f>B13+(0.5*B23)+(0.5*C23)</f>
        <v>24387590908.234085</v>
      </c>
      <c r="D13" s="84">
        <f>C13+(0.5*C23)+(0.5*D23)</f>
        <v>25685156940.948513</v>
      </c>
      <c r="E13" s="84">
        <f>D13+(0.5*D23)+(0.5*E23)</f>
        <v>26988085845.087456</v>
      </c>
      <c r="F13" s="103"/>
    </row>
    <row r="14" spans="1:9" x14ac:dyDescent="0.25">
      <c r="A14" s="67" t="s">
        <v>182</v>
      </c>
      <c r="B14" s="80">
        <f>('I-Dados'!B100+'I-Dados'!B105+'I-Dados'!B110)*'A-Fator-X'!B13/'I-Dados'!B115</f>
        <v>21647631446.138123</v>
      </c>
      <c r="C14" s="80">
        <f>B14*C13/B13</f>
        <v>22828423771.67429</v>
      </c>
      <c r="D14" s="80">
        <f t="shared" ref="D14:E14" si="5">C14*D13/C13</f>
        <v>24043032765.977779</v>
      </c>
      <c r="E14" s="80">
        <f t="shared" si="5"/>
        <v>25262661768.283394</v>
      </c>
    </row>
    <row r="15" spans="1:9" x14ac:dyDescent="0.25">
      <c r="A15" s="67" t="s">
        <v>53</v>
      </c>
      <c r="B15" s="80">
        <f>('I-Dados'!B102+'I-Dados'!B107+'I-Dados'!B112)*'A-Fator-X'!B13/'I-Dados'!B115</f>
        <v>1458272474.4963448</v>
      </c>
      <c r="C15" s="80">
        <f>B15*C13/B13</f>
        <v>1537815446.7014217</v>
      </c>
      <c r="D15" s="80">
        <f t="shared" ref="D15:E15" si="6">C15*D13/C13</f>
        <v>1619636447.2148266</v>
      </c>
      <c r="E15" s="80">
        <f t="shared" si="6"/>
        <v>1701795615.8788424</v>
      </c>
      <c r="F15" s="103"/>
    </row>
    <row r="16" spans="1:9" x14ac:dyDescent="0.25">
      <c r="A16" s="67" t="s">
        <v>54</v>
      </c>
      <c r="B16" s="101">
        <f>('I-Dados'!B103+'I-Dados'!B108+'I-Dados'!B113)*'A-Fator-X'!B13/'I-Dados'!B115</f>
        <v>20247281.083848413</v>
      </c>
      <c r="C16" s="80">
        <f>B16*C13/B13</f>
        <v>21351689.858372651</v>
      </c>
      <c r="D16" s="80">
        <f t="shared" ref="D16:E16" si="7">C16*D13/C13</f>
        <v>22487727.755905338</v>
      </c>
      <c r="E16" s="80">
        <f t="shared" si="7"/>
        <v>23628460.925219376</v>
      </c>
      <c r="F16" s="103"/>
    </row>
    <row r="17" spans="1:8" x14ac:dyDescent="0.25">
      <c r="A17" s="67" t="s">
        <v>69</v>
      </c>
      <c r="B17" s="80">
        <f>'I-Dados'!B101+'I-Dados'!B106+'I-Dados'!B111</f>
        <v>0</v>
      </c>
      <c r="C17" s="80">
        <f>$B$17</f>
        <v>0</v>
      </c>
      <c r="D17" s="80">
        <f t="shared" ref="D17:E17" si="8">$B$17</f>
        <v>0</v>
      </c>
      <c r="E17" s="80">
        <f t="shared" si="8"/>
        <v>0</v>
      </c>
      <c r="F17" s="103"/>
      <c r="G17" s="104"/>
      <c r="H17" s="104"/>
    </row>
    <row r="18" spans="1:8" x14ac:dyDescent="0.25">
      <c r="A18" s="66" t="s">
        <v>184</v>
      </c>
      <c r="B18" s="83">
        <f>B17*B29</f>
        <v>0</v>
      </c>
      <c r="C18" s="76">
        <f t="shared" ref="C18:D18" si="9">C17*C29</f>
        <v>0</v>
      </c>
      <c r="D18" s="76">
        <f t="shared" si="9"/>
        <v>0</v>
      </c>
      <c r="E18" s="76">
        <f>E17*E29</f>
        <v>0</v>
      </c>
      <c r="F18" s="103"/>
    </row>
    <row r="19" spans="1:8" x14ac:dyDescent="0.25">
      <c r="A19" s="66" t="s">
        <v>183</v>
      </c>
      <c r="B19" s="83">
        <f>('I-Dados'!B116+'I-Dados'!B117)*(1+'I-Dados'!B157)*'A-Fator-X'!B13/'I-Dados'!B115</f>
        <v>0</v>
      </c>
      <c r="C19" s="76">
        <f>B19*C13/B13</f>
        <v>0</v>
      </c>
      <c r="D19" s="76">
        <f t="shared" ref="D19:E19" si="10">C19*D13/C13</f>
        <v>0</v>
      </c>
      <c r="E19" s="76">
        <f t="shared" si="10"/>
        <v>0</v>
      </c>
      <c r="F19" s="103"/>
    </row>
    <row r="20" spans="1:8" x14ac:dyDescent="0.25">
      <c r="A20" s="66" t="s">
        <v>55</v>
      </c>
      <c r="B20" s="83">
        <f>'I-Dados'!B125*(1+'I-Dados'!B157)*'A-Fator-X'!B23/'I-Dados'!B70</f>
        <v>0</v>
      </c>
      <c r="C20" s="76">
        <v>0</v>
      </c>
      <c r="D20" s="76">
        <v>0</v>
      </c>
      <c r="E20" s="76">
        <v>0</v>
      </c>
      <c r="F20" s="103"/>
    </row>
    <row r="21" spans="1:8" x14ac:dyDescent="0.25">
      <c r="A21" s="54" t="s">
        <v>56</v>
      </c>
      <c r="B21" s="78">
        <f>'I-Dados'!B128*(1+'I-Dados'!B157)*'A-Fator-X'!B23/'I-Dados'!B70</f>
        <v>113293645.75498801</v>
      </c>
      <c r="C21" s="77">
        <f>B21*C23/B23</f>
        <v>119951340.54163213</v>
      </c>
      <c r="D21" s="77">
        <f t="shared" ref="D21:E21" si="11">C21*D23/C23</f>
        <v>119973540.49401489</v>
      </c>
      <c r="E21" s="77">
        <f t="shared" si="11"/>
        <v>120942955.80906107</v>
      </c>
      <c r="F21" s="103"/>
    </row>
    <row r="22" spans="1:8" x14ac:dyDescent="0.25">
      <c r="A22" s="54" t="s">
        <v>57</v>
      </c>
      <c r="B22" s="78">
        <f>('I-Dados'!B142+'I-Dados'!B143)*'A-Fator-X'!B4/'I-Dados'!B5</f>
        <v>340111310.35771328</v>
      </c>
      <c r="C22" s="77">
        <f>B22*C4/B4</f>
        <v>355816178.33737361</v>
      </c>
      <c r="D22" s="77">
        <f>C22*D4/C4</f>
        <v>362110851.68710804</v>
      </c>
      <c r="E22" s="77">
        <f>D22*E4/D4</f>
        <v>368575908.44602644</v>
      </c>
      <c r="F22" s="103"/>
    </row>
    <row r="23" spans="1:8" x14ac:dyDescent="0.25">
      <c r="A23" s="65" t="s">
        <v>58</v>
      </c>
      <c r="B23" s="79">
        <f>'I-Dados'!C70</f>
        <v>1225433442.4966288</v>
      </c>
      <c r="C23" s="79">
        <f>'I-Dados'!D70</f>
        <v>1297445970.5349011</v>
      </c>
      <c r="D23" s="79">
        <f>'I-Dados'!E70</f>
        <v>1297686094.8939538</v>
      </c>
      <c r="E23" s="79">
        <f>'I-Dados'!F70</f>
        <v>1308171713.3839359</v>
      </c>
      <c r="F23" s="103"/>
    </row>
    <row r="24" spans="1:8" x14ac:dyDescent="0.25">
      <c r="A24" s="67" t="s">
        <v>59</v>
      </c>
      <c r="B24" s="80">
        <f>'I-Dados'!B119+'I-Dados'!B120+'I-Dados'!B121</f>
        <v>9338204068.8700008</v>
      </c>
      <c r="C24" s="81">
        <f>B24+B25-B18</f>
        <v>9939484000.1146774</v>
      </c>
      <c r="D24" s="81">
        <f t="shared" ref="D24:E24" si="12">C24+C25-C18</f>
        <v>10573561363.728764</v>
      </c>
      <c r="E24" s="81">
        <f t="shared" si="12"/>
        <v>11241375444.193424</v>
      </c>
      <c r="F24" s="103"/>
    </row>
    <row r="25" spans="1:8" x14ac:dyDescent="0.25">
      <c r="A25" s="67" t="s">
        <v>60</v>
      </c>
      <c r="B25" s="80">
        <f>B13*B29</f>
        <v>601279931.24467635</v>
      </c>
      <c r="C25" s="80">
        <f t="shared" ref="C25:D25" si="13">C13*C29</f>
        <v>634077363.61408627</v>
      </c>
      <c r="D25" s="80">
        <f t="shared" si="13"/>
        <v>667814080.46466136</v>
      </c>
      <c r="E25" s="80">
        <f>E13*E29</f>
        <v>701690231.97227395</v>
      </c>
      <c r="F25" s="102"/>
    </row>
    <row r="26" spans="1:8" x14ac:dyDescent="0.25">
      <c r="A26" s="56" t="s">
        <v>40</v>
      </c>
      <c r="B26" s="85">
        <f>B12-B15-B16-B19</f>
        <v>21647631446.138126</v>
      </c>
      <c r="C26" s="85">
        <f t="shared" ref="C26:D26" si="14">C12-C15-C16-C19</f>
        <v>22828423771.67429</v>
      </c>
      <c r="D26" s="85">
        <f t="shared" si="14"/>
        <v>24043032765.977783</v>
      </c>
      <c r="E26" s="85">
        <f>E12-E15-E16-E19</f>
        <v>25262661768.283394</v>
      </c>
      <c r="F26" s="103"/>
    </row>
    <row r="27" spans="1:8" x14ac:dyDescent="0.25">
      <c r="A27" s="44" t="s">
        <v>41</v>
      </c>
      <c r="B27" s="86">
        <f>B13-B17-B24+B20+B21+B22</f>
        <v>14241352088.96102</v>
      </c>
      <c r="C27" s="86">
        <f t="shared" ref="C27:E27" si="15">C13-C17-C24+C20+C21+C22</f>
        <v>14923874426.998413</v>
      </c>
      <c r="D27" s="86">
        <f t="shared" si="15"/>
        <v>15593679969.400871</v>
      </c>
      <c r="E27" s="86">
        <f t="shared" si="15"/>
        <v>16236229265.149118</v>
      </c>
      <c r="F27" s="103"/>
    </row>
    <row r="28" spans="1:8" x14ac:dyDescent="0.25">
      <c r="A28" s="55" t="s">
        <v>42</v>
      </c>
      <c r="B28" s="91">
        <f>B26*B29</f>
        <v>562838417.59959137</v>
      </c>
      <c r="C28" s="91">
        <f t="shared" ref="C28:D28" si="16">C26*C29</f>
        <v>593539018.06353164</v>
      </c>
      <c r="D28" s="91">
        <f t="shared" si="16"/>
        <v>625118851.91542244</v>
      </c>
      <c r="E28" s="91">
        <f>E26*E29</f>
        <v>656829205.97536826</v>
      </c>
      <c r="F28" s="103"/>
    </row>
    <row r="29" spans="1:8" x14ac:dyDescent="0.25">
      <c r="A29" s="67" t="s">
        <v>61</v>
      </c>
      <c r="B29" s="82">
        <f>'A-Tarifa-P0'!B28</f>
        <v>2.6000000000000002E-2</v>
      </c>
      <c r="C29" s="82">
        <f>$B$29</f>
        <v>2.6000000000000002E-2</v>
      </c>
      <c r="D29" s="82">
        <f t="shared" ref="D29:E29" si="17">$B$29</f>
        <v>2.6000000000000002E-2</v>
      </c>
      <c r="E29" s="82">
        <f t="shared" si="17"/>
        <v>2.6000000000000002E-2</v>
      </c>
      <c r="F29" s="102"/>
    </row>
    <row r="30" spans="1:8" x14ac:dyDescent="0.25">
      <c r="A30" s="68" t="s">
        <v>47</v>
      </c>
      <c r="B30" s="87">
        <f>B27*B31</f>
        <v>1634167917.8052609</v>
      </c>
      <c r="C30" s="87">
        <f t="shared" ref="C30:E30" si="18">C27*C31</f>
        <v>1712486050.8756943</v>
      </c>
      <c r="D30" s="87">
        <f t="shared" si="18"/>
        <v>1789344955.9659414</v>
      </c>
      <c r="E30" s="87">
        <f t="shared" si="18"/>
        <v>1863076258.8760121</v>
      </c>
      <c r="F30" s="103"/>
    </row>
    <row r="31" spans="1:8" x14ac:dyDescent="0.25">
      <c r="A31" s="67" t="s">
        <v>62</v>
      </c>
      <c r="B31" s="82">
        <f>'I-Dados'!$B$77</f>
        <v>0.11474808765327575</v>
      </c>
      <c r="C31" s="82">
        <f>'I-Dados'!$B$77</f>
        <v>0.11474808765327575</v>
      </c>
      <c r="D31" s="82">
        <f>'I-Dados'!$B$77</f>
        <v>0.11474808765327575</v>
      </c>
      <c r="E31" s="82">
        <f>'I-Dados'!$B$77</f>
        <v>0.11474808765327575</v>
      </c>
      <c r="F31" s="103"/>
    </row>
    <row r="32" spans="1:8" x14ac:dyDescent="0.25">
      <c r="A32" s="68" t="s">
        <v>43</v>
      </c>
      <c r="B32" s="88">
        <f>B33*B34</f>
        <v>27858527.037837174</v>
      </c>
      <c r="C32" s="88">
        <f t="shared" ref="C32:E32" si="19">C33*C34</f>
        <v>28916169.298175529</v>
      </c>
      <c r="D32" s="88">
        <f t="shared" si="19"/>
        <v>29731639.77714172</v>
      </c>
      <c r="E32" s="88">
        <f t="shared" si="19"/>
        <v>30533858.670032505</v>
      </c>
      <c r="F32" s="103"/>
    </row>
    <row r="33" spans="1:6" x14ac:dyDescent="0.25">
      <c r="A33" s="67" t="s">
        <v>63</v>
      </c>
      <c r="B33" s="80">
        <f>(B8+B28+B30+B36)/(1-B34-B35)</f>
        <v>5256325856.195693</v>
      </c>
      <c r="C33" s="80">
        <f t="shared" ref="C33:E33" si="20">(C8+C28+C30+C36)/(1-C34-C35)</f>
        <v>5455880999.6557598</v>
      </c>
      <c r="D33" s="80">
        <f t="shared" si="20"/>
        <v>5609743354.1776829</v>
      </c>
      <c r="E33" s="80">
        <f t="shared" si="20"/>
        <v>5761105409.4400949</v>
      </c>
      <c r="F33" s="103"/>
    </row>
    <row r="34" spans="1:6" x14ac:dyDescent="0.25">
      <c r="A34" s="67" t="s">
        <v>64</v>
      </c>
      <c r="B34" s="82">
        <f>'I-Dados'!B94</f>
        <v>5.3E-3</v>
      </c>
      <c r="C34" s="82">
        <f>$B$34</f>
        <v>5.3E-3</v>
      </c>
      <c r="D34" s="82">
        <f t="shared" ref="D34:E34" si="21">$B$34</f>
        <v>5.3E-3</v>
      </c>
      <c r="E34" s="82">
        <f t="shared" si="21"/>
        <v>5.3E-3</v>
      </c>
      <c r="F34" s="103"/>
    </row>
    <row r="35" spans="1:6" x14ac:dyDescent="0.25">
      <c r="A35" s="67" t="s">
        <v>65</v>
      </c>
      <c r="B35" s="143">
        <f>'I-Dados'!B86</f>
        <v>6.9388000000000005E-2</v>
      </c>
      <c r="C35" s="143">
        <f>$B$35</f>
        <v>6.9388000000000005E-2</v>
      </c>
      <c r="D35" s="143">
        <f t="shared" ref="D35:E35" si="22">$B$35</f>
        <v>6.9388000000000005E-2</v>
      </c>
      <c r="E35" s="143">
        <f t="shared" si="22"/>
        <v>6.9388000000000005E-2</v>
      </c>
      <c r="F35" s="102"/>
    </row>
    <row r="36" spans="1:6" x14ac:dyDescent="0.25">
      <c r="A36" s="67" t="s">
        <v>66</v>
      </c>
      <c r="B36" s="132">
        <f>'I-Dados'!B47*B4/'I-Dados'!B5</f>
        <v>730453682.30274105</v>
      </c>
      <c r="C36" s="81">
        <f>B36*C4/B4</f>
        <v>764182871.23725748</v>
      </c>
      <c r="D36" s="81">
        <f>C36*D4/C4</f>
        <v>777701878.65388978</v>
      </c>
      <c r="E36" s="81">
        <f>D36*E4/D4</f>
        <v>791586816.82569396</v>
      </c>
      <c r="F36" s="103"/>
    </row>
    <row r="37" spans="1:6" x14ac:dyDescent="0.25">
      <c r="A37" s="70" t="s">
        <v>89</v>
      </c>
      <c r="B37" s="63">
        <f>B8+B30+B28+B32</f>
        <v>4161146235.3832455</v>
      </c>
      <c r="C37" s="63">
        <f t="shared" ref="C37:E37" si="23">C8+C30+C28+C32</f>
        <v>4313125457.6143894</v>
      </c>
      <c r="D37" s="63">
        <f t="shared" si="23"/>
        <v>4442792603.6641121</v>
      </c>
      <c r="E37" s="63">
        <f t="shared" si="23"/>
        <v>4569767010.4641714</v>
      </c>
    </row>
    <row r="38" spans="1:6" ht="15" customHeight="1" x14ac:dyDescent="0.25">
      <c r="A38" s="251" t="s">
        <v>248</v>
      </c>
      <c r="B38" s="252"/>
    </row>
    <row r="40" spans="1:6" x14ac:dyDescent="0.25">
      <c r="A40" s="1" t="s">
        <v>70</v>
      </c>
    </row>
    <row r="41" spans="1:6" x14ac:dyDescent="0.25">
      <c r="A41" s="53" t="s">
        <v>71</v>
      </c>
      <c r="B41" s="53" t="s">
        <v>67</v>
      </c>
    </row>
    <row r="42" spans="1:6" x14ac:dyDescent="0.25">
      <c r="A42" s="49" t="s">
        <v>44</v>
      </c>
      <c r="B42" s="89">
        <f>NPV('I-Dados'!$B$76,'A-Fator-X'!B7:E7)</f>
        <v>14576869423.081747</v>
      </c>
    </row>
    <row r="43" spans="1:6" x14ac:dyDescent="0.25">
      <c r="A43" s="49" t="s">
        <v>45</v>
      </c>
      <c r="B43" s="89">
        <f>NPV('I-Dados'!$B$76,'A-Fator-X'!B37:E37)</f>
        <v>14576869423.082813</v>
      </c>
    </row>
    <row r="44" spans="1:6" x14ac:dyDescent="0.25">
      <c r="A44" s="49" t="s">
        <v>46</v>
      </c>
      <c r="B44" s="89">
        <f>ROUND(B42-B43,2)</f>
        <v>0</v>
      </c>
    </row>
    <row r="45" spans="1:6" x14ac:dyDescent="0.25">
      <c r="A45" s="44" t="s">
        <v>190</v>
      </c>
      <c r="B45" s="105">
        <v>9.7659909594135161E-3</v>
      </c>
    </row>
    <row r="46" spans="1:6" x14ac:dyDescent="0.25">
      <c r="A46" s="251" t="s">
        <v>249</v>
      </c>
      <c r="B46" s="252"/>
    </row>
    <row r="48" spans="1:6" x14ac:dyDescent="0.25">
      <c r="A48" s="1" t="s">
        <v>239</v>
      </c>
    </row>
    <row r="49" spans="1:5" x14ac:dyDescent="0.25">
      <c r="A49" s="53" t="s">
        <v>236</v>
      </c>
      <c r="B49" s="53" t="s">
        <v>67</v>
      </c>
    </row>
    <row r="50" spans="1:5" x14ac:dyDescent="0.25">
      <c r="A50" s="49" t="s">
        <v>237</v>
      </c>
      <c r="B50" s="89">
        <f>'A-Tarifa-P0'!B58</f>
        <v>14780268011.871861</v>
      </c>
    </row>
    <row r="51" spans="1:5" x14ac:dyDescent="0.25">
      <c r="A51" s="49" t="s">
        <v>238</v>
      </c>
      <c r="B51" s="89">
        <f>B43</f>
        <v>14576869423.082813</v>
      </c>
    </row>
    <row r="52" spans="1:5" x14ac:dyDescent="0.25">
      <c r="A52" s="49" t="s">
        <v>46</v>
      </c>
      <c r="B52" s="89">
        <f>B50-B51</f>
        <v>203398588.78904724</v>
      </c>
    </row>
    <row r="53" spans="1:5" x14ac:dyDescent="0.25">
      <c r="A53" s="251" t="s">
        <v>249</v>
      </c>
      <c r="B53" s="252"/>
    </row>
    <row r="54" spans="1:5" x14ac:dyDescent="0.25">
      <c r="A54" s="39"/>
      <c r="B54" s="39"/>
      <c r="C54" s="39"/>
      <c r="D54" s="39"/>
      <c r="E54" s="39"/>
    </row>
    <row r="55" spans="1:5" x14ac:dyDescent="0.25">
      <c r="A55" s="40"/>
      <c r="B55" s="41"/>
      <c r="C55" s="41"/>
      <c r="D55" s="41"/>
      <c r="E55" s="41"/>
    </row>
    <row r="56" spans="1:5" x14ac:dyDescent="0.25">
      <c r="A56" s="39"/>
      <c r="B56" s="39"/>
      <c r="C56" s="39"/>
      <c r="D56" s="39"/>
      <c r="E56" s="39"/>
    </row>
    <row r="57" spans="1:5" x14ac:dyDescent="0.25">
      <c r="A57" s="39"/>
      <c r="B57" s="39"/>
      <c r="C57" s="39"/>
      <c r="D57" s="39"/>
      <c r="E57" s="39"/>
    </row>
  </sheetData>
  <mergeCells count="3">
    <mergeCell ref="A38:B38"/>
    <mergeCell ref="A46:B46"/>
    <mergeCell ref="A53:B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E31B-6AF7-49F5-B717-4BFC2515F505}">
  <dimension ref="A1:K35"/>
  <sheetViews>
    <sheetView zoomScale="85" zoomScaleNormal="85" workbookViewId="0">
      <selection activeCell="E9" sqref="E9"/>
    </sheetView>
  </sheetViews>
  <sheetFormatPr defaultRowHeight="15" x14ac:dyDescent="0.25"/>
  <cols>
    <col min="1" max="1" width="34.7109375" style="4" customWidth="1"/>
    <col min="2" max="2" width="26.5703125" style="4" bestFit="1" customWidth="1"/>
    <col min="3" max="5" width="21.28515625" style="4" customWidth="1"/>
    <col min="6" max="7" width="23.140625" style="4" customWidth="1"/>
    <col min="8" max="8" width="26.5703125" style="4" bestFit="1" customWidth="1"/>
    <col min="9" max="9" width="33.28515625" style="4" customWidth="1"/>
    <col min="10" max="10" width="13.28515625" style="4" customWidth="1"/>
    <col min="11" max="16384" width="9.140625" style="4"/>
  </cols>
  <sheetData>
    <row r="1" spans="1:11" x14ac:dyDescent="0.25">
      <c r="A1" s="176" t="s">
        <v>37</v>
      </c>
      <c r="B1" s="176"/>
      <c r="C1" s="176"/>
      <c r="D1" s="176"/>
      <c r="E1" s="176"/>
      <c r="F1" s="176"/>
      <c r="G1" s="176"/>
      <c r="H1" s="176"/>
      <c r="I1" s="173"/>
    </row>
    <row r="2" spans="1:11" x14ac:dyDescent="0.25">
      <c r="A2" s="16"/>
      <c r="B2" s="16"/>
      <c r="C2" s="16"/>
      <c r="D2" s="16"/>
      <c r="E2" s="16"/>
      <c r="F2" s="16"/>
      <c r="G2" s="16"/>
      <c r="H2" s="16"/>
      <c r="I2" s="16"/>
      <c r="K2" s="3"/>
    </row>
    <row r="3" spans="1:11" x14ac:dyDescent="0.25">
      <c r="A3" s="148" t="s">
        <v>191</v>
      </c>
      <c r="B3" s="148"/>
      <c r="C3" s="16"/>
      <c r="D3" s="16"/>
      <c r="E3" s="16"/>
      <c r="F3" s="16"/>
      <c r="G3" s="16"/>
      <c r="H3" s="16"/>
      <c r="I3" s="16"/>
    </row>
    <row r="4" spans="1:11" ht="60" x14ac:dyDescent="0.25">
      <c r="A4" s="42" t="s">
        <v>30</v>
      </c>
      <c r="B4" s="172" t="s">
        <v>275</v>
      </c>
      <c r="C4" s="172" t="s">
        <v>317</v>
      </c>
      <c r="D4" s="172" t="s">
        <v>316</v>
      </c>
      <c r="E4" s="172" t="s">
        <v>245</v>
      </c>
      <c r="G4" s="3" t="s">
        <v>227</v>
      </c>
    </row>
    <row r="5" spans="1:11" x14ac:dyDescent="0.25">
      <c r="A5" s="177" t="s">
        <v>193</v>
      </c>
      <c r="B5" s="171">
        <f>'I-Dados'!B166*(1+'I-Dados'!B180)</f>
        <v>5.3583251506458316</v>
      </c>
      <c r="C5" s="171">
        <f>B14+B21</f>
        <v>5.2323785064871773</v>
      </c>
      <c r="D5" s="179">
        <f>C5/B5-1</f>
        <v>-2.3504852844451585E-2</v>
      </c>
      <c r="E5" s="179">
        <f>C5/B7-1</f>
        <v>-2.3504852844451585E-2</v>
      </c>
      <c r="J5" s="253"/>
    </row>
    <row r="6" spans="1:11" x14ac:dyDescent="0.25">
      <c r="A6" s="178" t="s">
        <v>192</v>
      </c>
      <c r="B6" s="170">
        <v>0</v>
      </c>
      <c r="C6" s="170">
        <f>B24</f>
        <v>0.43512767868505137</v>
      </c>
      <c r="D6" s="180" t="s">
        <v>226</v>
      </c>
      <c r="E6" s="181">
        <f>((B5+C6)/B7)-1</f>
        <v>8.1205911633154049E-2</v>
      </c>
      <c r="J6" s="253"/>
    </row>
    <row r="7" spans="1:11" x14ac:dyDescent="0.25">
      <c r="A7" s="45" t="s">
        <v>193</v>
      </c>
      <c r="B7" s="174">
        <f>SUM(B5:B6)</f>
        <v>5.3583251506458316</v>
      </c>
      <c r="C7" s="174">
        <f>SUM(C5:C6)</f>
        <v>5.667506185172229</v>
      </c>
      <c r="D7" s="133">
        <f>C7/B7-1</f>
        <v>5.7701058788702353E-2</v>
      </c>
      <c r="E7" s="133">
        <f>E5+E6</f>
        <v>5.7701058788702464E-2</v>
      </c>
      <c r="J7" s="253"/>
    </row>
    <row r="8" spans="1:11" x14ac:dyDescent="0.25">
      <c r="A8" s="149" t="s">
        <v>246</v>
      </c>
      <c r="B8" s="150"/>
    </row>
    <row r="9" spans="1:11" x14ac:dyDescent="0.25">
      <c r="C9" s="151"/>
      <c r="D9" s="151"/>
      <c r="E9" s="151"/>
      <c r="F9" s="151"/>
    </row>
    <row r="10" spans="1:11" x14ac:dyDescent="0.25">
      <c r="A10" s="148" t="s">
        <v>243</v>
      </c>
      <c r="B10" s="148"/>
      <c r="C10" s="16"/>
      <c r="D10" s="16"/>
      <c r="E10" s="16"/>
      <c r="F10" s="16"/>
    </row>
    <row r="11" spans="1:11" x14ac:dyDescent="0.25">
      <c r="A11" s="42" t="s">
        <v>30</v>
      </c>
      <c r="B11" s="31" t="s">
        <v>27</v>
      </c>
      <c r="C11" s="38" t="s">
        <v>225</v>
      </c>
    </row>
    <row r="12" spans="1:11" x14ac:dyDescent="0.25">
      <c r="A12" s="46" t="s">
        <v>28</v>
      </c>
      <c r="B12" s="34">
        <f>'A-Tarifa-P0'!B60</f>
        <v>4.515232636969837</v>
      </c>
      <c r="C12" s="152" t="s">
        <v>226</v>
      </c>
    </row>
    <row r="13" spans="1:11" x14ac:dyDescent="0.25">
      <c r="A13" s="43" t="s">
        <v>29</v>
      </c>
      <c r="B13" s="32">
        <f>'A-Tarifa-P0'!B61</f>
        <v>4.3089692509928579</v>
      </c>
      <c r="C13" s="146" t="s">
        <v>226</v>
      </c>
    </row>
    <row r="14" spans="1:11" x14ac:dyDescent="0.25">
      <c r="A14" s="44" t="s">
        <v>13</v>
      </c>
      <c r="B14" s="35">
        <f>'A-Tarifa-P0'!B62</f>
        <v>4.4533785064871774</v>
      </c>
      <c r="C14" s="153">
        <f t="shared" ref="C14:C26" si="0">B14/$B$26</f>
        <v>0.78577476956103698</v>
      </c>
    </row>
    <row r="15" spans="1:11" x14ac:dyDescent="0.25">
      <c r="A15" s="47" t="s">
        <v>31</v>
      </c>
      <c r="B15" s="33">
        <f>'A-Tarifa-P0'!H35</f>
        <v>618182317.78577101</v>
      </c>
      <c r="C15" s="154" t="s">
        <v>226</v>
      </c>
    </row>
    <row r="16" spans="1:11" x14ac:dyDescent="0.25">
      <c r="A16" s="48" t="s">
        <v>32</v>
      </c>
      <c r="B16" s="30">
        <f>'A-Tarifa-P0'!N35</f>
        <v>109328646.39081013</v>
      </c>
      <c r="C16" s="155" t="s">
        <v>226</v>
      </c>
    </row>
    <row r="17" spans="1:9" x14ac:dyDescent="0.25">
      <c r="A17" s="47" t="s">
        <v>33</v>
      </c>
      <c r="B17" s="106">
        <f>'I-Dados'!C3</f>
        <v>527393716</v>
      </c>
      <c r="C17" s="154" t="s">
        <v>226</v>
      </c>
    </row>
    <row r="18" spans="1:9" x14ac:dyDescent="0.25">
      <c r="A18" s="48" t="s">
        <v>34</v>
      </c>
      <c r="B18" s="106">
        <f>'I-Dados'!C4</f>
        <v>406011301</v>
      </c>
      <c r="C18" s="155" t="s">
        <v>226</v>
      </c>
    </row>
    <row r="19" spans="1:9" x14ac:dyDescent="0.25">
      <c r="A19" s="49" t="s">
        <v>35</v>
      </c>
      <c r="B19" s="32">
        <f>B15/B17</f>
        <v>1.1721457784411125</v>
      </c>
      <c r="C19" s="146" t="s">
        <v>226</v>
      </c>
      <c r="G19" s="3" t="s">
        <v>247</v>
      </c>
    </row>
    <row r="20" spans="1:9" x14ac:dyDescent="0.25">
      <c r="A20" s="50" t="s">
        <v>36</v>
      </c>
      <c r="B20" s="32">
        <f>B16/B18</f>
        <v>0.2692748850131394</v>
      </c>
      <c r="C20" s="152" t="s">
        <v>226</v>
      </c>
    </row>
    <row r="21" spans="1:9" x14ac:dyDescent="0.25">
      <c r="A21" s="44" t="s">
        <v>14</v>
      </c>
      <c r="B21" s="35">
        <f>ROUND((B15+B16)/(B17+B18),3)</f>
        <v>0.77900000000000003</v>
      </c>
      <c r="C21" s="153">
        <f t="shared" si="0"/>
        <v>0.13745037494486104</v>
      </c>
    </row>
    <row r="22" spans="1:9" x14ac:dyDescent="0.25">
      <c r="A22" s="51" t="s">
        <v>15</v>
      </c>
      <c r="B22" s="36">
        <f>B12+B19</f>
        <v>5.687378415410949</v>
      </c>
      <c r="C22" s="155" t="s">
        <v>226</v>
      </c>
    </row>
    <row r="23" spans="1:9" x14ac:dyDescent="0.25">
      <c r="A23" s="52" t="s">
        <v>16</v>
      </c>
      <c r="B23" s="36">
        <f>B13+B20</f>
        <v>4.5782441360059973</v>
      </c>
      <c r="C23" s="154" t="s">
        <v>226</v>
      </c>
    </row>
    <row r="24" spans="1:9" x14ac:dyDescent="0.25">
      <c r="A24" s="44" t="s">
        <v>192</v>
      </c>
      <c r="B24" s="35">
        <f>'A-Tarifa-P0'!B76</f>
        <v>0.43512767868505137</v>
      </c>
      <c r="C24" s="153">
        <f t="shared" si="0"/>
        <v>7.6775946834592212E-2</v>
      </c>
    </row>
    <row r="25" spans="1:9" x14ac:dyDescent="0.25">
      <c r="A25" s="44" t="s">
        <v>190</v>
      </c>
      <c r="B25" s="131">
        <f>'A-Fator-X'!B45</f>
        <v>9.7659909594135161E-3</v>
      </c>
      <c r="C25" s="153" t="s">
        <v>226</v>
      </c>
    </row>
    <row r="26" spans="1:9" ht="15" customHeight="1" x14ac:dyDescent="0.25">
      <c r="A26" s="45" t="s">
        <v>17</v>
      </c>
      <c r="B26" s="29">
        <f>ROUND(B21+B14+B24,4)</f>
        <v>5.6675000000000004</v>
      </c>
      <c r="C26" s="156">
        <f t="shared" si="0"/>
        <v>1</v>
      </c>
    </row>
    <row r="27" spans="1:9" ht="15" customHeight="1" x14ac:dyDescent="0.25">
      <c r="A27" s="252" t="s">
        <v>246</v>
      </c>
      <c r="B27" s="252"/>
      <c r="C27" s="252"/>
    </row>
    <row r="28" spans="1:9" x14ac:dyDescent="0.25">
      <c r="A28" s="147"/>
      <c r="B28" s="147"/>
      <c r="C28" s="147"/>
      <c r="G28" s="16"/>
      <c r="H28" s="16"/>
      <c r="I28" s="16"/>
    </row>
    <row r="35" ht="15" customHeight="1" x14ac:dyDescent="0.25"/>
  </sheetData>
  <mergeCells count="2">
    <mergeCell ref="A27:C27"/>
    <mergeCell ref="J5:J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Mapa_Planilha</vt:lpstr>
      <vt:lpstr>I-Dados</vt:lpstr>
      <vt:lpstr>I-TarifaVerificada</vt:lpstr>
      <vt:lpstr>A-DiferençaMédia</vt:lpstr>
      <vt:lpstr>A-Tarifa-P0</vt:lpstr>
      <vt:lpstr>A-Fator-X</vt:lpstr>
      <vt:lpstr>R-TarifaRTP-2021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Ricardo Menegazzo</dc:creator>
  <cp:lastModifiedBy>Luciano Ricardo Menegazzo</cp:lastModifiedBy>
  <dcterms:created xsi:type="dcterms:W3CDTF">2019-11-25T15:00:33Z</dcterms:created>
  <dcterms:modified xsi:type="dcterms:W3CDTF">2021-04-13T19:13:13Z</dcterms:modified>
</cp:coreProperties>
</file>